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1 разд" sheetId="1" r:id="rId1"/>
    <sheet name="2разд" sheetId="2" r:id="rId2"/>
  </sheets>
  <definedNames>
    <definedName name="_xlnm.Print_Area" localSheetId="0">'1 разд'!$A$1:$L$144</definedName>
    <definedName name="_xlnm.Print_Area" localSheetId="1">'2разд'!$A$1:$H$28</definedName>
  </definedNames>
  <calcPr fullCalcOnLoad="1"/>
</workbook>
</file>

<file path=xl/comments1.xml><?xml version="1.0" encoding="utf-8"?>
<comments xmlns="http://schemas.openxmlformats.org/spreadsheetml/2006/main">
  <authors>
    <author>Direktor</author>
    <author>Kab1-4</author>
  </authors>
  <commentList>
    <comment ref="A140" authorId="0">
      <text>
        <r>
          <rPr>
            <sz val="9"/>
            <rFont val="Tahoma"/>
            <family val="2"/>
          </rPr>
          <t>показатель отржается со знаком минус</t>
        </r>
      </text>
    </comment>
    <comment ref="A139" authorId="0">
      <text>
        <r>
          <rPr>
            <sz val="9"/>
            <rFont val="Tahoma"/>
            <family val="2"/>
          </rPr>
          <t>показатели указываются со знаком минус</t>
        </r>
      </text>
    </comment>
    <comment ref="I134" authorId="1">
      <text>
        <r>
          <rPr>
            <b/>
            <sz val="9"/>
            <rFont val="Tahoma"/>
            <family val="0"/>
          </rPr>
          <t>Kab1-4:</t>
        </r>
        <r>
          <rPr>
            <sz val="9"/>
            <rFont val="Tahoma"/>
            <family val="0"/>
          </rPr>
          <t xml:space="preserve">
1118,86 возмещение коммунали
4632,63</t>
        </r>
      </text>
    </comment>
  </commentList>
</comments>
</file>

<file path=xl/sharedStrings.xml><?xml version="1.0" encoding="utf-8"?>
<sst xmlns="http://schemas.openxmlformats.org/spreadsheetml/2006/main" count="354" uniqueCount="223">
  <si>
    <t>Наименование показателя</t>
  </si>
  <si>
    <t>первый год планового периода</t>
  </si>
  <si>
    <t>второй год планового периода</t>
  </si>
  <si>
    <t>2</t>
  </si>
  <si>
    <t>(наименование должности уполномоченного лица)</t>
  </si>
  <si>
    <t>(подпись)</t>
  </si>
  <si>
    <t>(расшифровка подписи)</t>
  </si>
  <si>
    <t>Дата</t>
  </si>
  <si>
    <t>по Сводному реестру</t>
  </si>
  <si>
    <t>глава по БК</t>
  </si>
  <si>
    <t>ИНН</t>
  </si>
  <si>
    <t>КПП</t>
  </si>
  <si>
    <t>по ОКЕИ</t>
  </si>
  <si>
    <t>Единица измерения: руб.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</si>
  <si>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</si>
  <si>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</si>
  <si>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</si>
  <si>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</si>
  <si>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</si>
  <si>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</si>
  <si>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1100</t>
  </si>
  <si>
    <t>в том числе:</t>
  </si>
  <si>
    <t>1110</t>
  </si>
  <si>
    <t>1200</t>
  </si>
  <si>
    <t>1210</t>
  </si>
  <si>
    <t>1300</t>
  </si>
  <si>
    <t>1310</t>
  </si>
  <si>
    <t>1400</t>
  </si>
  <si>
    <t>1500</t>
  </si>
  <si>
    <t>целевые субсидии</t>
  </si>
  <si>
    <t>1510</t>
  </si>
  <si>
    <t>1900</t>
  </si>
  <si>
    <t>1980</t>
  </si>
  <si>
    <t>1981</t>
  </si>
  <si>
    <t>2000</t>
  </si>
  <si>
    <t>2100</t>
  </si>
  <si>
    <t>2110</t>
  </si>
  <si>
    <t>прочие выплаты персоналу, в том числе компенсационного характера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</si>
  <si>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</si>
  <si>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</si>
  <si>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</si>
  <si>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2141</t>
  </si>
  <si>
    <t>2142</t>
  </si>
  <si>
    <t>2300</t>
  </si>
  <si>
    <t>2310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</si>
  <si>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</si>
  <si>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</si>
  <si>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уплата штрафов (в том числе административных), пеней, иных платежей</t>
  </si>
  <si>
    <t>2330</t>
  </si>
  <si>
    <t>2500</t>
  </si>
  <si>
    <t>2520</t>
  </si>
  <si>
    <t>2600</t>
  </si>
  <si>
    <t>в том числе:
закупку научно-исследовательских и опытно-конструкторских работ</t>
  </si>
  <si>
    <t>2610</t>
  </si>
  <si>
    <t>закупку товаров, работ, услуг в сфере информационно-коммуникационных технологий</t>
  </si>
  <si>
    <t>2620</t>
  </si>
  <si>
    <t>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</si>
  <si>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</si>
  <si>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</si>
  <si>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</si>
  <si>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2650</t>
  </si>
  <si>
    <t>3010</t>
  </si>
  <si>
    <t>3020</t>
  </si>
  <si>
    <t>3030</t>
  </si>
  <si>
    <t>из них:
возврат в бюджет средств субсидии</t>
  </si>
  <si>
    <t>Год
начала закупки</t>
  </si>
  <si>
    <t>1.4.1</t>
  </si>
  <si>
    <t>за счет прочих источников финансового обеспечения</t>
  </si>
  <si>
    <t>в соответствии с Федеральным законом № 223-ФЗ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</si>
  <si>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</si>
  <si>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УТВЕРЖДАЮ</t>
  </si>
  <si>
    <t>КОДЫ</t>
  </si>
  <si>
    <t>код строки</t>
  </si>
  <si>
    <t>Аналитический код</t>
  </si>
  <si>
    <t>Остаток средств на начало текущего финансового года</t>
  </si>
  <si>
    <t>Остаток средств на конец текущего финансового года</t>
  </si>
  <si>
    <t>субсидии на финансовое обеспечение выполнения муниципального задания за счет средств бюджета</t>
  </si>
  <si>
    <t>1410</t>
  </si>
  <si>
    <t>а) доходы от собственности, всего</t>
  </si>
  <si>
    <t>б) доходы от оказания услуг, работ, компенсации затрат учреждений, всего</t>
  </si>
  <si>
    <t>в) доходы от штрафов, пеней, иных сумм принудительного изъятия, всего</t>
  </si>
  <si>
    <t>д) прочие доходы, всего</t>
  </si>
  <si>
    <t>г) безвозмездные денежные поступления, всего</t>
  </si>
  <si>
    <t>е) доходы от иной, приносящей доход деятельности</t>
  </si>
  <si>
    <t>1600</t>
  </si>
  <si>
    <t>1610</t>
  </si>
  <si>
    <t>ж) доходы от операций с активами</t>
  </si>
  <si>
    <t>з) прочие поступления, всего</t>
  </si>
  <si>
    <t>в том числе: увеличение остатков денежных средств за счет возврата дебиторской задолженности прошлых лет</t>
  </si>
  <si>
    <r>
      <t xml:space="preserve">в том числе: </t>
    </r>
    <r>
      <rPr>
        <i/>
        <sz val="8"/>
        <rFont val="Arial Cyr"/>
        <family val="0"/>
      </rPr>
      <t>(по видам источников)</t>
    </r>
  </si>
  <si>
    <r>
      <t>в том числе:</t>
    </r>
    <r>
      <rPr>
        <i/>
        <sz val="8"/>
        <rFont val="Arial Cyr"/>
        <family val="0"/>
      </rPr>
      <t xml:space="preserve"> (по видам источников)</t>
    </r>
  </si>
  <si>
    <t>Расходы, всего:</t>
  </si>
  <si>
    <t>а) на выплаты персоналу, всего</t>
  </si>
  <si>
    <t>оплата труда.</t>
  </si>
  <si>
    <t>в том числе : на выплаты по оплате труда</t>
  </si>
  <si>
    <t>на прочие выплаты персоналу, в том числе компенсационного характера</t>
  </si>
  <si>
    <t>б) уплата налогов, сборов и иных платежей, всего</t>
  </si>
  <si>
    <t>налог на имущество и земельный налог</t>
  </si>
  <si>
    <t>в) прочие выплаты (кроме выплат на закупку товаров, работ, услуг)</t>
  </si>
  <si>
    <t>в том числе: 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</si>
  <si>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федеральный бюджет</t>
  </si>
  <si>
    <t>областной бюджет</t>
  </si>
  <si>
    <t>местный бюджет</t>
  </si>
  <si>
    <t>внебюджетные средства</t>
  </si>
  <si>
    <t xml:space="preserve">г) расходы на закупку товаров, работ, услуг, всего </t>
  </si>
  <si>
    <t xml:space="preserve">                 коммунальные услуги</t>
  </si>
  <si>
    <t xml:space="preserve">                 услуги связи</t>
  </si>
  <si>
    <t>2641</t>
  </si>
  <si>
    <t>2642</t>
  </si>
  <si>
    <t>д) капитальные вложения в объекты государственной (муниципальной) собственности, всего</t>
  </si>
  <si>
    <t>Выплаты, уменьшающие доход, всего</t>
  </si>
  <si>
    <t>в том числе 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</si>
  <si>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</si>
  <si>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</si>
  <si>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</si>
  <si>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 xml:space="preserve">В том числе из строки 2000   "РАСХОДЫ" </t>
  </si>
  <si>
    <t>I. Cубсидии на финансовое обеспечение выполнения муниципального задания за счет средств бюджета</t>
  </si>
  <si>
    <t xml:space="preserve">II. Целевые субсидии </t>
  </si>
  <si>
    <t>III. Внебюджетные средства</t>
  </si>
  <si>
    <r>
      <t xml:space="preserve">в том числе: </t>
    </r>
    <r>
      <rPr>
        <i/>
        <sz val="10"/>
        <rFont val="Arial Cyr"/>
        <family val="0"/>
      </rPr>
      <t>по кодам цели</t>
    </r>
    <r>
      <rPr>
        <sz val="10"/>
        <rFont val="Arial Cyr"/>
        <family val="0"/>
      </rPr>
      <t xml:space="preserve">
</t>
    </r>
  </si>
  <si>
    <t>2644</t>
  </si>
  <si>
    <t>О****</t>
  </si>
  <si>
    <t>Выплаты на закупку товаров, работ, услуг, всего</t>
  </si>
  <si>
    <t>Коды строк</t>
  </si>
  <si>
    <t>сумма за пределами планового периода</t>
  </si>
  <si>
    <t>1.1.</t>
  </si>
  <si>
    <t>1.2.</t>
  </si>
  <si>
    <t>1.3.</t>
  </si>
  <si>
    <t>1.4.</t>
  </si>
  <si>
    <t>за счет субсидий, предоставляемых в соответствии с абзацем вторым пункта 1 статьи 78.1 БК РФ</t>
  </si>
  <si>
    <t>1.4.2.</t>
  </si>
  <si>
    <t>1.4.1.1.</t>
  </si>
  <si>
    <t>1.4.1.2.</t>
  </si>
  <si>
    <t>1.4.2.1.</t>
  </si>
  <si>
    <t>1.4.2.2.</t>
  </si>
  <si>
    <t>1.4.5.</t>
  </si>
  <si>
    <t>1.4.5.1.</t>
  </si>
  <si>
    <t>1.4.5.2.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</si>
  <si>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16</t>
  </si>
  <si>
    <t>20__</t>
  </si>
  <si>
    <t xml:space="preserve">в том числе по году начала закупки: текущий </t>
  </si>
  <si>
    <t>2.1.</t>
  </si>
  <si>
    <t>2.2.</t>
  </si>
  <si>
    <t>2.3.</t>
  </si>
  <si>
    <t>3.1.</t>
  </si>
  <si>
    <t>3.2.</t>
  </si>
  <si>
    <t>3.3.</t>
  </si>
  <si>
    <t>Раздел 2. Сведения по выплатам на закупки товаров, работ, услуг</t>
  </si>
  <si>
    <t>Х</t>
  </si>
  <si>
    <r>
      <t xml:space="preserve">по контрактам (договорам), заключенным до начала текущего финансового год  </t>
    </r>
    <r>
      <rPr>
        <b/>
        <sz val="8"/>
        <rFont val="Arial Cyr"/>
        <family val="0"/>
      </rPr>
      <t>без</t>
    </r>
    <r>
      <rPr>
        <sz val="8"/>
        <rFont val="Arial Cyr"/>
        <family val="0"/>
      </rPr>
      <t xml:space="preserve"> применения норм № 44-ФЗ и № 223-ФЗ </t>
    </r>
  </si>
  <si>
    <r>
      <t xml:space="preserve">по контрактам (договорам), планируемым к заключению в соответствующем финансовом году </t>
    </r>
    <r>
      <rPr>
        <b/>
        <sz val="8"/>
        <rFont val="Arial Cyr"/>
        <family val="0"/>
      </rPr>
      <t>без</t>
    </r>
    <r>
      <rPr>
        <sz val="8"/>
        <rFont val="Arial Cyr"/>
        <family val="0"/>
      </rPr>
      <t xml:space="preserve"> применения норм № 44-ФЗ и № 223-ФЗ</t>
    </r>
  </si>
  <si>
    <r>
      <t xml:space="preserve">по контрактам (договорам), заключенным до начала текущего финансового года </t>
    </r>
    <r>
      <rPr>
        <b/>
        <sz val="10"/>
        <rFont val="Arial Cyr"/>
        <family val="0"/>
      </rPr>
      <t>с учетом</t>
    </r>
    <r>
      <rPr>
        <sz val="10"/>
        <rFont val="Arial Cyr"/>
        <family val="0"/>
      </rPr>
      <t xml:space="preserve"> требований № 44-ФЗ и № 223-ФЗ</t>
    </r>
  </si>
  <si>
    <r>
      <t xml:space="preserve">по контрактам (договорам), планируемым к заключению в соответствующем финансовом году </t>
    </r>
    <r>
      <rPr>
        <b/>
        <sz val="10"/>
        <rFont val="Arial Cyr"/>
        <family val="0"/>
      </rPr>
      <t>с учетом</t>
    </r>
    <r>
      <rPr>
        <sz val="10"/>
        <rFont val="Arial Cyr"/>
        <family val="0"/>
      </rPr>
      <t xml:space="preserve"> требований № 44-ФЗ и № 223-ФЗ</t>
    </r>
  </si>
  <si>
    <t>№пп</t>
  </si>
  <si>
    <t>в том числе: в соответствии с Федеральным законом № 44-ФЗ</t>
  </si>
  <si>
    <t xml:space="preserve">                                                 (должность)                         ФИО                                                     подпись</t>
  </si>
  <si>
    <t>в том числе: за счет субсидий, предоставляемых на финансовое обеспечение выполнения муниципального задания</t>
  </si>
  <si>
    <t>отражается все лимиты на закупку в году стр26500=26300+26400</t>
  </si>
  <si>
    <t>Код по бюджет. класс-ции РФ</t>
  </si>
  <si>
    <t>Орган, осуществляющий функции и полномочия учредителя Районный отдел образования Администрации Пролетарского района Ростовской области</t>
  </si>
  <si>
    <t>612801001</t>
  </si>
  <si>
    <t>от</t>
  </si>
  <si>
    <t>Директор</t>
  </si>
  <si>
    <t>О0202</t>
  </si>
  <si>
    <t>О0101</t>
  </si>
  <si>
    <t>О0102</t>
  </si>
  <si>
    <t>О0103</t>
  </si>
  <si>
    <t>О0402</t>
  </si>
  <si>
    <t>О0501</t>
  </si>
  <si>
    <t>О0502</t>
  </si>
  <si>
    <t>О0601</t>
  </si>
  <si>
    <t>обновление материально-технической базы  м.б.</t>
  </si>
  <si>
    <t>0000</t>
  </si>
  <si>
    <t xml:space="preserve">                прочие закупки</t>
  </si>
  <si>
    <t>2643</t>
  </si>
  <si>
    <r>
      <t>родительская плата</t>
    </r>
    <r>
      <rPr>
        <i/>
        <sz val="8"/>
        <rFont val="Arial Cyr"/>
        <family val="0"/>
      </rPr>
      <t xml:space="preserve"> (дошкольное отделение)</t>
    </r>
  </si>
  <si>
    <r>
      <t>родительская плата</t>
    </r>
    <r>
      <rPr>
        <i/>
        <sz val="8"/>
        <rFont val="Arial Cyr"/>
        <family val="0"/>
      </rPr>
      <t xml:space="preserve"> (школа)</t>
    </r>
  </si>
  <si>
    <t>О0302</t>
  </si>
  <si>
    <t>Оплата расходов по организации отдыха детей в каникулярное время</t>
  </si>
  <si>
    <t>Оплата расходов на противопожарные мероприятия ОУ</t>
  </si>
  <si>
    <t>Оплата расходов на антитеррористическую защищенность ОУ</t>
  </si>
  <si>
    <t>Организация питания в муниципальных бюджетных общеобразовательных учреждениях</t>
  </si>
  <si>
    <t>Организация питания в муниципальных бюджетных общеобразовательных учреждениях (ОДО)</t>
  </si>
  <si>
    <t>Оплата расходов на реализацию проекта "Всеобуч по плаванию"</t>
  </si>
  <si>
    <t>Оплата расходов по созданию безопасных и комфортных условий осуществления образовательной деятельности в ОУ</t>
  </si>
  <si>
    <t>контроль</t>
  </si>
  <si>
    <t>возмещение расходов</t>
  </si>
  <si>
    <t>О1301</t>
  </si>
  <si>
    <t>Расходы на проведение патриотических мероприятий в ОУ</t>
  </si>
  <si>
    <t>Расходы на санитарно-эпидемиологические мероприятия для организации отдыха и оздоровления детей</t>
  </si>
  <si>
    <t>О1501</t>
  </si>
  <si>
    <t>О1601</t>
  </si>
  <si>
    <t>Мероприятия по борьбе с короновирусом</t>
  </si>
  <si>
    <t>1420</t>
  </si>
  <si>
    <t>целевые субсидии (питание 1 - 4 классы)</t>
  </si>
  <si>
    <t xml:space="preserve">Организация бесплатного горячего питания обучающихся в 1-4 классах </t>
  </si>
  <si>
    <t>О1701</t>
  </si>
  <si>
    <t>целевые субсидии (вознаграждение за классное руководство)</t>
  </si>
  <si>
    <t>О1901</t>
  </si>
  <si>
    <t>цифровая образовательная среда (федеральный бюджет)</t>
  </si>
  <si>
    <t>цифровая образовательная среда (областной бюджет)</t>
  </si>
  <si>
    <t>создание центров образов.науч.и техн.направл.(федер.бюджет)</t>
  </si>
  <si>
    <t>2660</t>
  </si>
  <si>
    <t>закупку энергетических ресурсов</t>
  </si>
  <si>
    <t>Оплата расходов на приобретение основных средств, оборудования и инвентаря в ОУ</t>
  </si>
  <si>
    <t>О1002</t>
  </si>
  <si>
    <r>
      <t>родительская плата</t>
    </r>
    <r>
      <rPr>
        <i/>
        <sz val="8"/>
        <rFont val="Arial Cyr"/>
        <family val="0"/>
      </rPr>
      <t xml:space="preserve"> (ГПД, предшкольная подготовка)</t>
    </r>
  </si>
  <si>
    <t>обновление материально-технической базы  обл.б</t>
  </si>
  <si>
    <t>Учреждение МБОУ Привольненская НОШ</t>
  </si>
  <si>
    <t>Дуванская Т.Ю</t>
  </si>
  <si>
    <t>6128007434</t>
  </si>
  <si>
    <t>Директор                                              Дуванская Т.Ю</t>
  </si>
  <si>
    <t>О0602</t>
  </si>
  <si>
    <t>О1101</t>
  </si>
  <si>
    <t>в том числе : на выплаты по оплате труда (советник директора по воспитанию и взаимодействию с детскими общественными объединениями)</t>
  </si>
  <si>
    <t>оплата труда.(советник директора по воспитанию и взаимодействию с детскими общественными объединениями)</t>
  </si>
  <si>
    <t>целевые субсидии (советник директора по воспитанию и взаимодействию с детскими общественными объединениями)</t>
  </si>
  <si>
    <t>не присвоенный код субсидии (гос.символика)</t>
  </si>
  <si>
    <t>сумма на 2024г.текущий финансовый год</t>
  </si>
  <si>
    <t>сумма на 2025г.первый год планового периода</t>
  </si>
  <si>
    <t>сумма на 2026г. первый год планового периода</t>
  </si>
  <si>
    <t>План финансово-хозяйственной деятельности на 2024г.  и плановый период 2025г.-2026г.</t>
  </si>
  <si>
    <t>09 января 2024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</si>
</sst>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sz val="9"/>
      <name val="Tahoma"/>
      <family val="2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vertAlign val="superscript"/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/>
    </xf>
    <xf numFmtId="0" fontId="4" fillId="6" borderId="10" xfId="0" applyFont="1" applyFill="1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left" wrapText="1" indent="3"/>
    </xf>
    <xf numFmtId="0" fontId="0" fillId="0" borderId="10" xfId="0" applyBorder="1" applyAlignment="1">
      <alignment horizontal="left" indent="2"/>
    </xf>
    <xf numFmtId="0" fontId="0" fillId="0" borderId="10" xfId="0" applyBorder="1" applyAlignment="1">
      <alignment horizontal="left" wrapText="1" indent="2"/>
    </xf>
    <xf numFmtId="49" fontId="0" fillId="0" borderId="10" xfId="0" applyNumberFormat="1" applyBorder="1" applyAlignment="1">
      <alignment horizontal="left" indent="2"/>
    </xf>
    <xf numFmtId="49" fontId="0" fillId="0" borderId="10" xfId="0" applyNumberFormat="1" applyBorder="1" applyAlignment="1">
      <alignment horizontal="left" wrapText="1" indent="2"/>
    </xf>
    <xf numFmtId="49" fontId="0" fillId="0" borderId="10" xfId="0" applyNumberFormat="1" applyBorder="1" applyAlignment="1">
      <alignment horizontal="left" indent="3"/>
    </xf>
    <xf numFmtId="49" fontId="0" fillId="0" borderId="10" xfId="0" applyNumberFormat="1" applyBorder="1" applyAlignment="1">
      <alignment horizontal="left" wrapText="1" indent="3"/>
    </xf>
    <xf numFmtId="49" fontId="0" fillId="0" borderId="10" xfId="0" applyNumberFormat="1" applyBorder="1" applyAlignment="1">
      <alignment horizontal="left" wrapText="1" indent="1"/>
    </xf>
    <xf numFmtId="49" fontId="5" fillId="0" borderId="10" xfId="0" applyNumberFormat="1" applyFont="1" applyBorder="1" applyAlignment="1">
      <alignment/>
    </xf>
    <xf numFmtId="49" fontId="4" fillId="33" borderId="10" xfId="0" applyNumberFormat="1" applyFont="1" applyFill="1" applyBorder="1" applyAlignment="1">
      <alignment horizontal="left" wrapText="1" indent="1"/>
    </xf>
    <xf numFmtId="0" fontId="0" fillId="12" borderId="10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3" fillId="12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 indent="1"/>
    </xf>
    <xf numFmtId="0" fontId="0" fillId="33" borderId="10" xfId="0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4" fontId="0" fillId="12" borderId="10" xfId="0" applyNumberFormat="1" applyFill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4" fontId="0" fillId="6" borderId="10" xfId="0" applyNumberFormat="1" applyFill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4" fillId="12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0" fillId="12" borderId="10" xfId="0" applyNumberFormat="1" applyFill="1" applyBorder="1" applyAlignment="1">
      <alignment/>
    </xf>
    <xf numFmtId="4" fontId="7" fillId="6" borderId="10" xfId="0" applyNumberFormat="1" applyFont="1" applyFill="1" applyBorder="1" applyAlignment="1">
      <alignment/>
    </xf>
    <xf numFmtId="4" fontId="4" fillId="6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5" fillId="6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9" fontId="11" fillId="6" borderId="10" xfId="0" applyNumberFormat="1" applyFont="1" applyFill="1" applyBorder="1" applyAlignment="1">
      <alignment/>
    </xf>
    <xf numFmtId="0" fontId="11" fillId="6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49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9" fillId="6" borderId="10" xfId="0" applyFont="1" applyFill="1" applyBorder="1" applyAlignment="1">
      <alignment/>
    </xf>
    <xf numFmtId="4" fontId="5" fillId="0" borderId="10" xfId="0" applyNumberFormat="1" applyFont="1" applyBorder="1" applyAlignment="1" applyProtection="1">
      <alignment/>
      <protection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9" fillId="0" borderId="10" xfId="0" applyFont="1" applyBorder="1" applyAlignment="1" applyProtection="1">
      <alignment/>
      <protection/>
    </xf>
    <xf numFmtId="4" fontId="0" fillId="34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/>
    </xf>
    <xf numFmtId="49" fontId="9" fillId="0" borderId="10" xfId="0" applyNumberFormat="1" applyFont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1" xfId="0" applyFont="1" applyBorder="1" applyAlignment="1">
      <alignment/>
    </xf>
    <xf numFmtId="0" fontId="0" fillId="0" borderId="10" xfId="0" applyBorder="1" applyAlignment="1">
      <alignment horizontal="left" wrapText="1" indent="1"/>
    </xf>
    <xf numFmtId="49" fontId="0" fillId="0" borderId="10" xfId="0" applyNumberFormat="1" applyBorder="1" applyAlignment="1" applyProtection="1">
      <alignment wrapText="1"/>
      <protection/>
    </xf>
    <xf numFmtId="49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4" fontId="7" fillId="33" borderId="10" xfId="0" applyNumberFormat="1" applyFont="1" applyFill="1" applyBorder="1" applyAlignment="1">
      <alignment/>
    </xf>
    <xf numFmtId="4" fontId="0" fillId="12" borderId="10" xfId="0" applyNumberFormat="1" applyFont="1" applyFill="1" applyBorder="1" applyAlignment="1">
      <alignment/>
    </xf>
    <xf numFmtId="4" fontId="0" fillId="12" borderId="10" xfId="0" applyNumberFormat="1" applyFont="1" applyFill="1" applyBorder="1" applyAlignment="1" applyProtection="1">
      <alignment/>
      <protection/>
    </xf>
    <xf numFmtId="4" fontId="5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left" wrapText="1" indent="1"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5" fillId="12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4" fontId="0" fillId="33" borderId="10" xfId="0" applyNumberFormat="1" applyFont="1" applyFill="1" applyBorder="1" applyAlignment="1">
      <alignment/>
    </xf>
    <xf numFmtId="4" fontId="0" fillId="6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view="pageBreakPreview" zoomScaleSheetLayoutView="100" zoomScalePageLayoutView="0" workbookViewId="0" topLeftCell="A15">
      <selection activeCell="D77" sqref="D77"/>
    </sheetView>
  </sheetViews>
  <sheetFormatPr defaultColWidth="9.00390625" defaultRowHeight="12.75"/>
  <cols>
    <col min="1" max="1" width="58.125" style="0" customWidth="1"/>
    <col min="2" max="2" width="5.75390625" style="0" customWidth="1"/>
    <col min="3" max="3" width="7.125" style="0" customWidth="1"/>
    <col min="4" max="4" width="8.25390625" style="0" customWidth="1"/>
    <col min="5" max="5" width="15.375" style="0" customWidth="1"/>
    <col min="6" max="6" width="12.75390625" style="0" customWidth="1"/>
    <col min="7" max="7" width="13.875" style="0" customWidth="1"/>
    <col min="8" max="8" width="13.00390625" style="0" customWidth="1"/>
    <col min="9" max="9" width="14.125" style="0" customWidth="1"/>
    <col min="10" max="10" width="14.375" style="0" customWidth="1"/>
    <col min="11" max="11" width="15.00390625" style="0" customWidth="1"/>
    <col min="12" max="12" width="10.625" style="0" customWidth="1"/>
    <col min="13" max="14" width="10.125" style="0" bestFit="1" customWidth="1"/>
  </cols>
  <sheetData>
    <row r="1" ht="12.75">
      <c r="J1" t="s">
        <v>70</v>
      </c>
    </row>
    <row r="2" spans="9:11" ht="12.75">
      <c r="I2" s="62"/>
      <c r="J2" s="62" t="s">
        <v>162</v>
      </c>
      <c r="K2" s="62"/>
    </row>
    <row r="3" spans="9:10" ht="12.75">
      <c r="I3" s="1"/>
      <c r="J3" s="39" t="s">
        <v>4</v>
      </c>
    </row>
    <row r="4" spans="9:11" ht="14.25">
      <c r="I4" s="78" t="s">
        <v>209</v>
      </c>
      <c r="J4" s="64"/>
      <c r="K4" s="63"/>
    </row>
    <row r="5" spans="9:11" ht="12.75">
      <c r="I5" s="40" t="s">
        <v>6</v>
      </c>
      <c r="K5" s="40" t="s">
        <v>5</v>
      </c>
    </row>
    <row r="6" ht="11.25" customHeight="1"/>
    <row r="7" spans="2:12" ht="20.25" customHeight="1">
      <c r="B7" s="77" t="s">
        <v>221</v>
      </c>
      <c r="C7" s="78"/>
      <c r="D7" s="78"/>
      <c r="E7" s="78"/>
      <c r="F7" s="78"/>
      <c r="G7" s="78"/>
      <c r="H7" s="78"/>
      <c r="I7" s="78"/>
      <c r="J7" s="79"/>
      <c r="L7" s="67" t="s">
        <v>71</v>
      </c>
    </row>
    <row r="8" spans="2:12" ht="14.25">
      <c r="B8" s="79"/>
      <c r="C8" s="79"/>
      <c r="D8" s="80" t="s">
        <v>161</v>
      </c>
      <c r="E8" s="81" t="s">
        <v>222</v>
      </c>
      <c r="F8" s="81"/>
      <c r="G8" s="79"/>
      <c r="H8" s="79"/>
      <c r="I8" s="79"/>
      <c r="J8" s="79"/>
      <c r="K8" t="s">
        <v>7</v>
      </c>
      <c r="L8" s="68">
        <v>45300</v>
      </c>
    </row>
    <row r="9" spans="11:12" ht="12.75">
      <c r="K9" s="3" t="s">
        <v>8</v>
      </c>
      <c r="L9" s="67"/>
    </row>
    <row r="10" spans="1:12" ht="12.75">
      <c r="A10" t="s">
        <v>159</v>
      </c>
      <c r="K10" s="3" t="s">
        <v>9</v>
      </c>
      <c r="L10" s="67">
        <v>907</v>
      </c>
    </row>
    <row r="11" spans="11:12" ht="12.75">
      <c r="K11" s="3" t="s">
        <v>8</v>
      </c>
      <c r="L11" s="67"/>
    </row>
    <row r="12" spans="1:12" ht="14.25">
      <c r="A12" s="82" t="s">
        <v>208</v>
      </c>
      <c r="B12" s="74"/>
      <c r="C12" s="74"/>
      <c r="D12" s="74"/>
      <c r="E12" s="74"/>
      <c r="F12" s="74"/>
      <c r="G12" s="74"/>
      <c r="H12" s="74"/>
      <c r="I12" s="74"/>
      <c r="J12" s="71"/>
      <c r="K12" s="3" t="s">
        <v>10</v>
      </c>
      <c r="L12" s="69" t="s">
        <v>210</v>
      </c>
    </row>
    <row r="13" spans="11:12" ht="12.75">
      <c r="K13" s="3" t="s">
        <v>11</v>
      </c>
      <c r="L13" s="70" t="s">
        <v>160</v>
      </c>
    </row>
    <row r="14" spans="1:12" ht="12.75">
      <c r="A14" t="s">
        <v>13</v>
      </c>
      <c r="K14" s="3" t="s">
        <v>12</v>
      </c>
      <c r="L14" s="67">
        <v>383</v>
      </c>
    </row>
    <row r="15" ht="12.75">
      <c r="B15" s="2" t="s">
        <v>14</v>
      </c>
    </row>
    <row r="16" spans="1:12" s="5" customFormat="1" ht="48" customHeight="1">
      <c r="A16" s="7" t="s">
        <v>0</v>
      </c>
      <c r="B16" s="41" t="s">
        <v>72</v>
      </c>
      <c r="C16" s="9" t="s">
        <v>158</v>
      </c>
      <c r="D16" s="9" t="s">
        <v>73</v>
      </c>
      <c r="E16" s="29" t="s">
        <v>218</v>
      </c>
      <c r="F16" s="42" t="s">
        <v>100</v>
      </c>
      <c r="G16" s="42" t="s">
        <v>101</v>
      </c>
      <c r="H16" s="42" t="s">
        <v>102</v>
      </c>
      <c r="I16" s="42" t="s">
        <v>103</v>
      </c>
      <c r="J16" s="29" t="s">
        <v>219</v>
      </c>
      <c r="K16" s="29" t="s">
        <v>220</v>
      </c>
      <c r="L16" s="29" t="s">
        <v>124</v>
      </c>
    </row>
    <row r="17" spans="1:12" s="5" customFormat="1" ht="14.25" customHeight="1">
      <c r="A17" s="86">
        <v>1</v>
      </c>
      <c r="B17" s="85" t="s">
        <v>3</v>
      </c>
      <c r="C17" s="9">
        <v>3</v>
      </c>
      <c r="D17" s="9">
        <v>4</v>
      </c>
      <c r="E17" s="29">
        <v>5</v>
      </c>
      <c r="F17" s="42">
        <v>6</v>
      </c>
      <c r="G17" s="42">
        <v>7</v>
      </c>
      <c r="H17" s="42">
        <v>8</v>
      </c>
      <c r="I17" s="42">
        <v>9</v>
      </c>
      <c r="J17" s="29">
        <v>10</v>
      </c>
      <c r="K17" s="29">
        <v>11</v>
      </c>
      <c r="L17" s="29">
        <v>12</v>
      </c>
    </row>
    <row r="18" spans="1:12" ht="12.75">
      <c r="A18" s="4" t="s">
        <v>74</v>
      </c>
      <c r="B18" s="50" t="s">
        <v>15</v>
      </c>
      <c r="C18" s="51"/>
      <c r="D18" s="51"/>
      <c r="E18" s="43">
        <f>F18+G18+H18+I18</f>
        <v>11208.76</v>
      </c>
      <c r="F18" s="44"/>
      <c r="G18" s="44"/>
      <c r="H18" s="44"/>
      <c r="I18" s="99">
        <v>11208.76</v>
      </c>
      <c r="J18" s="45"/>
      <c r="K18" s="45"/>
      <c r="L18" s="45"/>
    </row>
    <row r="19" spans="1:12" ht="12.75">
      <c r="A19" s="4" t="s">
        <v>75</v>
      </c>
      <c r="B19" s="50" t="s">
        <v>17</v>
      </c>
      <c r="C19" s="51"/>
      <c r="D19" s="51"/>
      <c r="E19" s="45">
        <f aca="true" t="shared" si="0" ref="E19:E91">F19+G19+H19+I19</f>
        <v>0</v>
      </c>
      <c r="F19" s="44"/>
      <c r="G19" s="44"/>
      <c r="H19" s="44"/>
      <c r="I19" s="44"/>
      <c r="J19" s="45"/>
      <c r="K19" s="45"/>
      <c r="L19" s="45"/>
    </row>
    <row r="20" spans="1:12" ht="18.75" customHeight="1">
      <c r="A20" s="11" t="s">
        <v>18</v>
      </c>
      <c r="B20" s="52" t="s">
        <v>19</v>
      </c>
      <c r="C20" s="53"/>
      <c r="D20" s="53"/>
      <c r="E20" s="43">
        <f t="shared" si="0"/>
        <v>8396715.3</v>
      </c>
      <c r="F20" s="46">
        <f aca="true" t="shared" si="1" ref="F20:L20">F21+F23+F25+F27+F32+F34+F40+F41</f>
        <v>369314.64</v>
      </c>
      <c r="G20" s="46">
        <f t="shared" si="1"/>
        <v>5177436.86</v>
      </c>
      <c r="H20" s="46">
        <f t="shared" si="1"/>
        <v>2778863.8</v>
      </c>
      <c r="I20" s="46">
        <f t="shared" si="1"/>
        <v>71100</v>
      </c>
      <c r="J20" s="43">
        <f t="shared" si="1"/>
        <v>7946171.48</v>
      </c>
      <c r="K20" s="43">
        <f t="shared" si="1"/>
        <v>8204373.679999999</v>
      </c>
      <c r="L20" s="43">
        <f t="shared" si="1"/>
        <v>0</v>
      </c>
    </row>
    <row r="21" spans="1:12" ht="12.75">
      <c r="A21" s="12" t="s">
        <v>78</v>
      </c>
      <c r="B21" s="50" t="s">
        <v>20</v>
      </c>
      <c r="C21" s="51">
        <v>120</v>
      </c>
      <c r="D21" s="51"/>
      <c r="E21" s="45">
        <f t="shared" si="0"/>
        <v>0</v>
      </c>
      <c r="F21" s="44"/>
      <c r="G21" s="44">
        <v>0</v>
      </c>
      <c r="H21" s="44">
        <v>0</v>
      </c>
      <c r="I21" s="99"/>
      <c r="J21" s="90">
        <v>0</v>
      </c>
      <c r="K21" s="90">
        <v>0</v>
      </c>
      <c r="L21" s="90"/>
    </row>
    <row r="22" spans="1:12" ht="12.75">
      <c r="A22" s="12" t="s">
        <v>89</v>
      </c>
      <c r="B22" s="50" t="s">
        <v>22</v>
      </c>
      <c r="C22" s="51">
        <v>120</v>
      </c>
      <c r="D22" s="51"/>
      <c r="E22" s="45">
        <f t="shared" si="0"/>
        <v>0</v>
      </c>
      <c r="F22" s="44"/>
      <c r="G22" s="44"/>
      <c r="H22" s="44"/>
      <c r="I22" s="99"/>
      <c r="J22" s="90"/>
      <c r="K22" s="90"/>
      <c r="L22" s="90"/>
    </row>
    <row r="23" spans="1:12" ht="25.5">
      <c r="A23" s="83" t="s">
        <v>79</v>
      </c>
      <c r="B23" s="50" t="s">
        <v>23</v>
      </c>
      <c r="C23" s="51">
        <v>130</v>
      </c>
      <c r="D23" s="51"/>
      <c r="E23" s="90">
        <f t="shared" si="0"/>
        <v>7484900</v>
      </c>
      <c r="F23" s="44">
        <f>SUM(F24)</f>
        <v>0</v>
      </c>
      <c r="G23" s="44">
        <f>G24</f>
        <v>5087800</v>
      </c>
      <c r="H23" s="44">
        <f>H24</f>
        <v>2397100</v>
      </c>
      <c r="I23" s="99"/>
      <c r="J23" s="90">
        <f>J24</f>
        <v>7306900</v>
      </c>
      <c r="K23" s="90">
        <f>K24</f>
        <v>7517499.999999999</v>
      </c>
      <c r="L23" s="90"/>
    </row>
    <row r="24" spans="1:12" ht="25.5">
      <c r="A24" s="13" t="s">
        <v>76</v>
      </c>
      <c r="B24" s="50" t="s">
        <v>24</v>
      </c>
      <c r="C24" s="51">
        <v>130</v>
      </c>
      <c r="D24" s="51"/>
      <c r="E24" s="90">
        <f t="shared" si="0"/>
        <v>7484900</v>
      </c>
      <c r="F24" s="44">
        <f>390600+26040-416640</f>
        <v>0</v>
      </c>
      <c r="G24" s="44">
        <f>3780000+1235100+72700</f>
        <v>5087800</v>
      </c>
      <c r="H24" s="44">
        <f>2266400+130700</f>
        <v>2397100</v>
      </c>
      <c r="I24" s="99"/>
      <c r="J24" s="90">
        <f>J67</f>
        <v>7306900</v>
      </c>
      <c r="K24" s="90">
        <f>K67</f>
        <v>7517499.999999999</v>
      </c>
      <c r="L24" s="90"/>
    </row>
    <row r="25" spans="1:12" ht="25.5">
      <c r="A25" s="83" t="s">
        <v>80</v>
      </c>
      <c r="B25" s="50" t="s">
        <v>25</v>
      </c>
      <c r="C25" s="51">
        <v>140</v>
      </c>
      <c r="D25" s="51"/>
      <c r="E25" s="90">
        <f t="shared" si="0"/>
        <v>0</v>
      </c>
      <c r="F25" s="44"/>
      <c r="G25" s="44">
        <f>G26</f>
        <v>0</v>
      </c>
      <c r="H25" s="44">
        <f>H26</f>
        <v>0</v>
      </c>
      <c r="I25" s="99"/>
      <c r="J25" s="90"/>
      <c r="K25" s="90"/>
      <c r="L25" s="90"/>
    </row>
    <row r="26" spans="1:12" ht="12.75">
      <c r="A26" s="12" t="s">
        <v>90</v>
      </c>
      <c r="B26" s="50" t="s">
        <v>26</v>
      </c>
      <c r="C26" s="51">
        <v>140</v>
      </c>
      <c r="D26" s="51"/>
      <c r="E26" s="90">
        <f t="shared" si="0"/>
        <v>0</v>
      </c>
      <c r="F26" s="44"/>
      <c r="G26" s="44"/>
      <c r="H26" s="44"/>
      <c r="I26" s="99"/>
      <c r="J26" s="90"/>
      <c r="K26" s="90"/>
      <c r="L26" s="90"/>
    </row>
    <row r="27" spans="1:12" ht="12.75">
      <c r="A27" s="12" t="s">
        <v>82</v>
      </c>
      <c r="B27" s="50" t="s">
        <v>27</v>
      </c>
      <c r="C27" s="51">
        <v>150</v>
      </c>
      <c r="D27" s="51"/>
      <c r="E27" s="90">
        <f t="shared" si="0"/>
        <v>840715.3</v>
      </c>
      <c r="F27" s="44">
        <f>SUM(F28:F31)</f>
        <v>369314.64</v>
      </c>
      <c r="G27" s="44">
        <f>SUM(G28:G31)</f>
        <v>89636.86</v>
      </c>
      <c r="H27" s="44">
        <f>SUM(H28:H31)</f>
        <v>381763.8</v>
      </c>
      <c r="I27" s="99"/>
      <c r="J27" s="90">
        <f>SUM(J28:J31)</f>
        <v>568171.48</v>
      </c>
      <c r="K27" s="90">
        <f>SUM(K28:K31)</f>
        <v>615773.6799999999</v>
      </c>
      <c r="L27" s="90"/>
    </row>
    <row r="28" spans="1:12" ht="16.5" customHeight="1">
      <c r="A28" s="14" t="s">
        <v>29</v>
      </c>
      <c r="B28" s="50" t="s">
        <v>77</v>
      </c>
      <c r="C28" s="51">
        <v>150</v>
      </c>
      <c r="D28" s="51"/>
      <c r="E28" s="90">
        <f t="shared" si="0"/>
        <v>451057.3</v>
      </c>
      <c r="F28" s="44"/>
      <c r="G28" s="44">
        <f>G86-G29-G30-G31</f>
        <v>69293.5</v>
      </c>
      <c r="H28" s="44">
        <f>H86-H29</f>
        <v>381763.8</v>
      </c>
      <c r="I28" s="99"/>
      <c r="J28" s="90">
        <f>J95-J29</f>
        <v>178513.47999999998</v>
      </c>
      <c r="K28" s="90">
        <f>K95-K29</f>
        <v>199195.68</v>
      </c>
      <c r="L28" s="90"/>
    </row>
    <row r="29" spans="1:12" ht="16.5" customHeight="1">
      <c r="A29" s="14" t="s">
        <v>194</v>
      </c>
      <c r="B29" s="50" t="s">
        <v>193</v>
      </c>
      <c r="C29" s="51">
        <v>150</v>
      </c>
      <c r="D29" s="51"/>
      <c r="E29" s="90">
        <f t="shared" si="0"/>
        <v>104500</v>
      </c>
      <c r="F29" s="44">
        <f>F111</f>
        <v>86735</v>
      </c>
      <c r="G29" s="44">
        <f>G111</f>
        <v>17765</v>
      </c>
      <c r="H29" s="44"/>
      <c r="I29" s="99"/>
      <c r="J29" s="90">
        <f>J111</f>
        <v>104500</v>
      </c>
      <c r="K29" s="90">
        <f>K111</f>
        <v>104500</v>
      </c>
      <c r="L29" s="90"/>
    </row>
    <row r="30" spans="1:12" ht="16.5" customHeight="1">
      <c r="A30" s="14" t="s">
        <v>197</v>
      </c>
      <c r="B30" s="50" t="s">
        <v>193</v>
      </c>
      <c r="C30" s="51">
        <v>150</v>
      </c>
      <c r="D30" s="51"/>
      <c r="E30" s="90">
        <f>F30+G30+H30+I30</f>
        <v>156240</v>
      </c>
      <c r="F30" s="44">
        <f aca="true" t="shared" si="2" ref="F30:K31">F88+F92</f>
        <v>156240</v>
      </c>
      <c r="G30" s="44">
        <f t="shared" si="2"/>
        <v>0</v>
      </c>
      <c r="H30" s="44">
        <f t="shared" si="2"/>
        <v>0</v>
      </c>
      <c r="I30" s="99">
        <f t="shared" si="2"/>
        <v>0</v>
      </c>
      <c r="J30" s="97">
        <f t="shared" si="2"/>
        <v>156240</v>
      </c>
      <c r="K30" s="97">
        <f t="shared" si="2"/>
        <v>156240</v>
      </c>
      <c r="L30" s="90"/>
    </row>
    <row r="31" spans="1:12" ht="38.25" customHeight="1">
      <c r="A31" s="15" t="s">
        <v>216</v>
      </c>
      <c r="B31" s="50" t="s">
        <v>193</v>
      </c>
      <c r="C31" s="51">
        <v>150</v>
      </c>
      <c r="D31" s="51"/>
      <c r="E31" s="90">
        <f>F31+G31+H31+I31</f>
        <v>128918</v>
      </c>
      <c r="F31" s="44">
        <f t="shared" si="2"/>
        <v>126339.64</v>
      </c>
      <c r="G31" s="44">
        <f t="shared" si="2"/>
        <v>2578.3599999999997</v>
      </c>
      <c r="H31" s="44">
        <f t="shared" si="2"/>
        <v>0</v>
      </c>
      <c r="I31" s="99">
        <f t="shared" si="2"/>
        <v>0</v>
      </c>
      <c r="J31" s="97">
        <f t="shared" si="2"/>
        <v>128918</v>
      </c>
      <c r="K31" s="97">
        <f t="shared" si="2"/>
        <v>155838</v>
      </c>
      <c r="L31" s="90"/>
    </row>
    <row r="32" spans="1:12" ht="18" customHeight="1">
      <c r="A32" s="12" t="s">
        <v>81</v>
      </c>
      <c r="B32" s="50" t="s">
        <v>28</v>
      </c>
      <c r="C32" s="51">
        <v>180</v>
      </c>
      <c r="D32" s="51"/>
      <c r="E32" s="90">
        <f t="shared" si="0"/>
        <v>0</v>
      </c>
      <c r="F32" s="44"/>
      <c r="G32" s="44">
        <f>G33</f>
        <v>0</v>
      </c>
      <c r="H32" s="44">
        <f>H33</f>
        <v>0</v>
      </c>
      <c r="I32" s="99">
        <f>I33</f>
        <v>0</v>
      </c>
      <c r="J32" s="90">
        <f>J33</f>
        <v>0</v>
      </c>
      <c r="K32" s="90">
        <f>K33</f>
        <v>0</v>
      </c>
      <c r="L32" s="90"/>
    </row>
    <row r="33" spans="1:12" ht="18.75" customHeight="1">
      <c r="A33" s="14" t="s">
        <v>186</v>
      </c>
      <c r="B33" s="50" t="s">
        <v>30</v>
      </c>
      <c r="C33" s="51">
        <v>180</v>
      </c>
      <c r="D33" s="51"/>
      <c r="E33" s="90">
        <f t="shared" si="0"/>
        <v>0</v>
      </c>
      <c r="F33" s="44"/>
      <c r="G33" s="44"/>
      <c r="H33" s="44"/>
      <c r="I33" s="99">
        <v>0</v>
      </c>
      <c r="J33" s="90"/>
      <c r="K33" s="90"/>
      <c r="L33" s="90"/>
    </row>
    <row r="34" spans="1:12" ht="18" customHeight="1">
      <c r="A34" s="12" t="s">
        <v>83</v>
      </c>
      <c r="B34" s="50" t="s">
        <v>84</v>
      </c>
      <c r="C34" s="54" t="s">
        <v>16</v>
      </c>
      <c r="D34" s="51"/>
      <c r="E34" s="90">
        <f t="shared" si="0"/>
        <v>71100</v>
      </c>
      <c r="F34" s="44"/>
      <c r="G34" s="44"/>
      <c r="H34" s="44"/>
      <c r="I34" s="99">
        <f>I36+I37+I38+I39</f>
        <v>71100</v>
      </c>
      <c r="J34" s="90">
        <f>J36+J37+J38+J39</f>
        <v>71100</v>
      </c>
      <c r="K34" s="90">
        <f>K36+K37+K38+K39</f>
        <v>71100</v>
      </c>
      <c r="L34" s="90"/>
    </row>
    <row r="35" spans="1:12" ht="12.75">
      <c r="A35" s="12" t="s">
        <v>21</v>
      </c>
      <c r="B35" s="50" t="s">
        <v>85</v>
      </c>
      <c r="C35" s="51"/>
      <c r="D35" s="51"/>
      <c r="E35" s="90">
        <f t="shared" si="0"/>
        <v>0</v>
      </c>
      <c r="F35" s="44"/>
      <c r="G35" s="44"/>
      <c r="H35" s="44"/>
      <c r="I35" s="99"/>
      <c r="J35" s="90"/>
      <c r="K35" s="90"/>
      <c r="L35" s="90"/>
    </row>
    <row r="36" spans="1:12" ht="14.25" customHeight="1">
      <c r="A36" s="12" t="s">
        <v>176</v>
      </c>
      <c r="B36" s="50"/>
      <c r="C36" s="51"/>
      <c r="D36" s="51"/>
      <c r="E36" s="90">
        <f t="shared" si="0"/>
        <v>0</v>
      </c>
      <c r="F36" s="44"/>
      <c r="G36" s="44"/>
      <c r="H36" s="44"/>
      <c r="I36" s="99">
        <v>0</v>
      </c>
      <c r="J36" s="90">
        <v>0</v>
      </c>
      <c r="K36" s="90">
        <v>0</v>
      </c>
      <c r="L36" s="90"/>
    </row>
    <row r="37" spans="1:12" ht="13.5" customHeight="1">
      <c r="A37" s="12" t="s">
        <v>206</v>
      </c>
      <c r="B37" s="50"/>
      <c r="C37" s="51"/>
      <c r="D37" s="51"/>
      <c r="E37" s="90">
        <f t="shared" si="0"/>
        <v>0</v>
      </c>
      <c r="F37" s="44"/>
      <c r="G37" s="44"/>
      <c r="H37" s="44"/>
      <c r="I37" s="99">
        <v>0</v>
      </c>
      <c r="J37" s="90">
        <f>J125</f>
        <v>0</v>
      </c>
      <c r="K37" s="90">
        <f>K125</f>
        <v>0</v>
      </c>
      <c r="L37" s="90"/>
    </row>
    <row r="38" spans="1:12" ht="13.5" customHeight="1">
      <c r="A38" s="12" t="s">
        <v>175</v>
      </c>
      <c r="B38" s="50"/>
      <c r="C38" s="51"/>
      <c r="D38" s="51"/>
      <c r="E38" s="90">
        <f t="shared" si="0"/>
        <v>71100</v>
      </c>
      <c r="F38" s="44"/>
      <c r="G38" s="44"/>
      <c r="H38" s="44"/>
      <c r="I38" s="99">
        <f>71100</f>
        <v>71100</v>
      </c>
      <c r="J38" s="90">
        <f>J133</f>
        <v>71100</v>
      </c>
      <c r="K38" s="90">
        <f>K133</f>
        <v>71100</v>
      </c>
      <c r="L38" s="90"/>
    </row>
    <row r="39" spans="1:12" ht="12.75">
      <c r="A39" s="12"/>
      <c r="B39" s="50"/>
      <c r="C39" s="51"/>
      <c r="D39" s="51"/>
      <c r="E39" s="90">
        <f t="shared" si="0"/>
        <v>0</v>
      </c>
      <c r="F39" s="44"/>
      <c r="G39" s="44"/>
      <c r="H39" s="44"/>
      <c r="I39" s="99"/>
      <c r="J39" s="90"/>
      <c r="K39" s="90"/>
      <c r="L39" s="90"/>
    </row>
    <row r="40" spans="1:12" ht="12.75">
      <c r="A40" s="12" t="s">
        <v>86</v>
      </c>
      <c r="B40" s="50" t="s">
        <v>31</v>
      </c>
      <c r="C40" s="51"/>
      <c r="D40" s="51"/>
      <c r="E40" s="90">
        <f t="shared" si="0"/>
        <v>0</v>
      </c>
      <c r="F40" s="44"/>
      <c r="G40" s="44"/>
      <c r="H40" s="44"/>
      <c r="I40" s="99"/>
      <c r="J40" s="90"/>
      <c r="K40" s="90"/>
      <c r="L40" s="90"/>
    </row>
    <row r="41" spans="1:12" ht="19.5" customHeight="1">
      <c r="A41" s="12" t="s">
        <v>87</v>
      </c>
      <c r="B41" s="50" t="s">
        <v>32</v>
      </c>
      <c r="C41" s="51"/>
      <c r="D41" s="51"/>
      <c r="E41" s="90">
        <f t="shared" si="0"/>
        <v>0</v>
      </c>
      <c r="F41" s="44"/>
      <c r="G41" s="44"/>
      <c r="H41" s="44"/>
      <c r="I41" s="99"/>
      <c r="J41" s="90"/>
      <c r="K41" s="90"/>
      <c r="L41" s="90"/>
    </row>
    <row r="42" spans="1:12" ht="25.5" customHeight="1">
      <c r="A42" s="15" t="s">
        <v>88</v>
      </c>
      <c r="B42" s="50" t="s">
        <v>33</v>
      </c>
      <c r="C42" s="51">
        <v>510</v>
      </c>
      <c r="D42" s="51"/>
      <c r="E42" s="90">
        <f t="shared" si="0"/>
        <v>0</v>
      </c>
      <c r="F42" s="44"/>
      <c r="G42" s="44"/>
      <c r="H42" s="44"/>
      <c r="I42" s="99"/>
      <c r="J42" s="90"/>
      <c r="K42" s="90"/>
      <c r="L42" s="90"/>
    </row>
    <row r="43" spans="1:12" ht="19.5" customHeight="1">
      <c r="A43" s="11" t="s">
        <v>91</v>
      </c>
      <c r="B43" s="52" t="s">
        <v>34</v>
      </c>
      <c r="C43" s="55" t="s">
        <v>16</v>
      </c>
      <c r="D43" s="53"/>
      <c r="E43" s="47">
        <f t="shared" si="0"/>
        <v>8407924.059999999</v>
      </c>
      <c r="F43" s="46">
        <f aca="true" t="shared" si="3" ref="F43:L43">F44+F50+F54+F56+F65</f>
        <v>369314.64</v>
      </c>
      <c r="G43" s="46">
        <f t="shared" si="3"/>
        <v>5177436.859999999</v>
      </c>
      <c r="H43" s="46">
        <f t="shared" si="3"/>
        <v>2778863.8</v>
      </c>
      <c r="I43" s="46">
        <f t="shared" si="3"/>
        <v>82308.76</v>
      </c>
      <c r="J43" s="43">
        <f t="shared" si="3"/>
        <v>7946171.48</v>
      </c>
      <c r="K43" s="43">
        <f t="shared" si="3"/>
        <v>8204373.68</v>
      </c>
      <c r="L43" s="43">
        <f t="shared" si="3"/>
        <v>0</v>
      </c>
    </row>
    <row r="44" spans="1:12" ht="19.5" customHeight="1">
      <c r="A44" s="12" t="s">
        <v>92</v>
      </c>
      <c r="B44" s="50" t="s">
        <v>35</v>
      </c>
      <c r="C44" s="54" t="s">
        <v>16</v>
      </c>
      <c r="D44" s="51"/>
      <c r="E44" s="90">
        <f t="shared" si="0"/>
        <v>5465841.619999999</v>
      </c>
      <c r="F44" s="44">
        <f>F45+F47+F46</f>
        <v>282579.64</v>
      </c>
      <c r="G44" s="44">
        <f>G45+G47+G46</f>
        <v>4011596.1099999994</v>
      </c>
      <c r="H44" s="44">
        <f>H45+H47</f>
        <v>1171665.87</v>
      </c>
      <c r="I44" s="44">
        <f>I45+I47</f>
        <v>0</v>
      </c>
      <c r="J44" s="90">
        <f>J45+J47+J46</f>
        <v>6118612.95</v>
      </c>
      <c r="K44" s="90">
        <f>K45+K47+K46</f>
        <v>6397532.949999999</v>
      </c>
      <c r="L44" s="90"/>
    </row>
    <row r="45" spans="1:12" ht="16.5" customHeight="1">
      <c r="A45" s="16" t="s">
        <v>93</v>
      </c>
      <c r="B45" s="50" t="s">
        <v>36</v>
      </c>
      <c r="C45" s="51">
        <v>111</v>
      </c>
      <c r="D45" s="51"/>
      <c r="E45" s="90">
        <f t="shared" si="0"/>
        <v>4198034.68</v>
      </c>
      <c r="F45" s="44">
        <f>F69+F89+F88</f>
        <v>217034.7</v>
      </c>
      <c r="G45" s="44">
        <f>G69+G88+G89</f>
        <v>3081102.9999999995</v>
      </c>
      <c r="H45" s="44">
        <f>H69+H88+H89</f>
        <v>899896.98</v>
      </c>
      <c r="I45" s="44">
        <f>I69+I88+I89</f>
        <v>0</v>
      </c>
      <c r="J45" s="97">
        <f>J69+J88+J89</f>
        <v>4699395.17</v>
      </c>
      <c r="K45" s="97">
        <f>K69+K88+K89</f>
        <v>4918680.34</v>
      </c>
      <c r="L45" s="90"/>
    </row>
    <row r="46" spans="1:12" ht="26.25" customHeight="1">
      <c r="A46" s="17" t="s">
        <v>37</v>
      </c>
      <c r="B46" s="50" t="s">
        <v>38</v>
      </c>
      <c r="C46" s="51">
        <v>112</v>
      </c>
      <c r="D46" s="51"/>
      <c r="E46" s="90">
        <f t="shared" si="0"/>
        <v>0</v>
      </c>
      <c r="F46" s="44">
        <f>F70+F90+F127</f>
        <v>0</v>
      </c>
      <c r="G46" s="44">
        <f>G70+G90+G127</f>
        <v>0</v>
      </c>
      <c r="H46" s="61">
        <f>H70+H90+H127</f>
        <v>0</v>
      </c>
      <c r="I46" s="44"/>
      <c r="J46" s="90">
        <f>J70+J90+J127</f>
        <v>0</v>
      </c>
      <c r="K46" s="91">
        <f>K70+K90+K127</f>
        <v>0</v>
      </c>
      <c r="L46" s="90"/>
    </row>
    <row r="47" spans="1:12" ht="38.25">
      <c r="A47" s="17" t="s">
        <v>39</v>
      </c>
      <c r="B47" s="50" t="s">
        <v>40</v>
      </c>
      <c r="C47" s="51">
        <v>119</v>
      </c>
      <c r="D47" s="51"/>
      <c r="E47" s="90">
        <f t="shared" si="0"/>
        <v>1267806.94</v>
      </c>
      <c r="F47" s="44">
        <f aca="true" t="shared" si="4" ref="F47:K47">F48</f>
        <v>65544.94</v>
      </c>
      <c r="G47" s="44">
        <f t="shared" si="4"/>
        <v>930493.1100000001</v>
      </c>
      <c r="H47" s="44">
        <f t="shared" si="4"/>
        <v>271768.89</v>
      </c>
      <c r="I47" s="44">
        <f t="shared" si="4"/>
        <v>0</v>
      </c>
      <c r="J47" s="90">
        <f t="shared" si="4"/>
        <v>1419217.78</v>
      </c>
      <c r="K47" s="90">
        <f t="shared" si="4"/>
        <v>1478852.6099999999</v>
      </c>
      <c r="L47" s="90"/>
    </row>
    <row r="48" spans="1:12" ht="15.75" customHeight="1">
      <c r="A48" s="18" t="s">
        <v>94</v>
      </c>
      <c r="B48" s="50" t="s">
        <v>41</v>
      </c>
      <c r="C48" s="51">
        <v>119</v>
      </c>
      <c r="D48" s="51"/>
      <c r="E48" s="90">
        <f t="shared" si="0"/>
        <v>1267806.94</v>
      </c>
      <c r="F48" s="44">
        <f aca="true" t="shared" si="5" ref="F48:K48">F72+F93++F92</f>
        <v>65544.94</v>
      </c>
      <c r="G48" s="44">
        <f t="shared" si="5"/>
        <v>930493.1100000001</v>
      </c>
      <c r="H48" s="44">
        <f t="shared" si="5"/>
        <v>271768.89</v>
      </c>
      <c r="I48" s="44">
        <f t="shared" si="5"/>
        <v>0</v>
      </c>
      <c r="J48" s="97">
        <f t="shared" si="5"/>
        <v>1419217.78</v>
      </c>
      <c r="K48" s="97">
        <f t="shared" si="5"/>
        <v>1478852.6099999999</v>
      </c>
      <c r="L48" s="90"/>
    </row>
    <row r="49" spans="1:12" ht="25.5">
      <c r="A49" s="19" t="s">
        <v>95</v>
      </c>
      <c r="B49" s="50" t="s">
        <v>42</v>
      </c>
      <c r="C49" s="51">
        <v>119</v>
      </c>
      <c r="D49" s="51"/>
      <c r="E49" s="90">
        <f t="shared" si="0"/>
        <v>0</v>
      </c>
      <c r="F49" s="44"/>
      <c r="G49" s="44"/>
      <c r="H49" s="44"/>
      <c r="I49" s="44"/>
      <c r="J49" s="90"/>
      <c r="K49" s="90"/>
      <c r="L49" s="90"/>
    </row>
    <row r="50" spans="1:12" ht="18" customHeight="1">
      <c r="A50" s="20" t="s">
        <v>96</v>
      </c>
      <c r="B50" s="50" t="s">
        <v>43</v>
      </c>
      <c r="C50" s="51">
        <v>850</v>
      </c>
      <c r="D50" s="51"/>
      <c r="E50" s="90">
        <f t="shared" si="0"/>
        <v>20280</v>
      </c>
      <c r="F50" s="44"/>
      <c r="G50" s="44"/>
      <c r="H50" s="44">
        <f>H51+H52+H53</f>
        <v>20280</v>
      </c>
      <c r="I50" s="44"/>
      <c r="J50" s="90">
        <f>J51+J52+J53</f>
        <v>0</v>
      </c>
      <c r="K50" s="90">
        <f>K51+K52+K53</f>
        <v>0</v>
      </c>
      <c r="L50" s="90"/>
    </row>
    <row r="51" spans="1:12" ht="18" customHeight="1">
      <c r="A51" s="19" t="s">
        <v>97</v>
      </c>
      <c r="B51" s="50" t="s">
        <v>44</v>
      </c>
      <c r="C51" s="51">
        <v>851</v>
      </c>
      <c r="D51" s="51"/>
      <c r="E51" s="90">
        <f t="shared" si="0"/>
        <v>6680</v>
      </c>
      <c r="F51" s="44"/>
      <c r="G51" s="44"/>
      <c r="H51" s="44">
        <f>H75</f>
        <v>6680</v>
      </c>
      <c r="I51" s="44"/>
      <c r="J51" s="90">
        <f aca="true" t="shared" si="6" ref="J51:K53">J75</f>
        <v>0</v>
      </c>
      <c r="K51" s="91">
        <f t="shared" si="6"/>
        <v>0</v>
      </c>
      <c r="L51" s="90"/>
    </row>
    <row r="52" spans="1:12" ht="38.25">
      <c r="A52" s="19" t="s">
        <v>45</v>
      </c>
      <c r="B52" s="50" t="s">
        <v>46</v>
      </c>
      <c r="C52" s="51">
        <v>852</v>
      </c>
      <c r="D52" s="51"/>
      <c r="E52" s="90">
        <f t="shared" si="0"/>
        <v>0</v>
      </c>
      <c r="F52" s="44"/>
      <c r="G52" s="44"/>
      <c r="H52" s="44">
        <f>H76</f>
        <v>0</v>
      </c>
      <c r="I52" s="44"/>
      <c r="J52" s="90">
        <f t="shared" si="6"/>
        <v>0</v>
      </c>
      <c r="K52" s="91">
        <f t="shared" si="6"/>
        <v>0</v>
      </c>
      <c r="L52" s="90"/>
    </row>
    <row r="53" spans="1:12" ht="25.5">
      <c r="A53" s="19" t="s">
        <v>47</v>
      </c>
      <c r="B53" s="50" t="s">
        <v>48</v>
      </c>
      <c r="C53" s="51">
        <v>853</v>
      </c>
      <c r="D53" s="51"/>
      <c r="E53" s="90">
        <f t="shared" si="0"/>
        <v>13600</v>
      </c>
      <c r="F53" s="44"/>
      <c r="G53" s="44"/>
      <c r="H53" s="44">
        <f>H77</f>
        <v>13600</v>
      </c>
      <c r="I53" s="44"/>
      <c r="J53" s="90">
        <f t="shared" si="6"/>
        <v>0</v>
      </c>
      <c r="K53" s="90">
        <f t="shared" si="6"/>
        <v>0</v>
      </c>
      <c r="L53" s="90"/>
    </row>
    <row r="54" spans="1:12" ht="25.5">
      <c r="A54" s="20" t="s">
        <v>98</v>
      </c>
      <c r="B54" s="50" t="s">
        <v>49</v>
      </c>
      <c r="C54" s="51" t="s">
        <v>16</v>
      </c>
      <c r="D54" s="51"/>
      <c r="E54" s="90">
        <f t="shared" si="0"/>
        <v>0</v>
      </c>
      <c r="F54" s="44"/>
      <c r="G54" s="44"/>
      <c r="H54" s="44"/>
      <c r="I54" s="44"/>
      <c r="J54" s="90"/>
      <c r="K54" s="90"/>
      <c r="L54" s="90"/>
    </row>
    <row r="55" spans="1:12" ht="39" customHeight="1">
      <c r="A55" s="19" t="s">
        <v>99</v>
      </c>
      <c r="B55" s="50" t="s">
        <v>50</v>
      </c>
      <c r="C55" s="51">
        <v>831</v>
      </c>
      <c r="D55" s="51"/>
      <c r="E55" s="90">
        <f t="shared" si="0"/>
        <v>0</v>
      </c>
      <c r="F55" s="44"/>
      <c r="G55" s="44"/>
      <c r="H55" s="44"/>
      <c r="I55" s="44"/>
      <c r="J55" s="90"/>
      <c r="K55" s="90"/>
      <c r="L55" s="90"/>
    </row>
    <row r="56" spans="1:12" ht="18.75" customHeight="1">
      <c r="A56" s="20" t="s">
        <v>104</v>
      </c>
      <c r="B56" s="50" t="s">
        <v>51</v>
      </c>
      <c r="C56" s="51" t="s">
        <v>16</v>
      </c>
      <c r="D56" s="51"/>
      <c r="E56" s="90">
        <f>F56+G56+H56+I56</f>
        <v>2921802.4399999995</v>
      </c>
      <c r="F56" s="44">
        <f aca="true" t="shared" si="7" ref="F56:K56">F57+F58+F59+F60+F64</f>
        <v>86735</v>
      </c>
      <c r="G56" s="44">
        <f t="shared" si="7"/>
        <v>1165840.75</v>
      </c>
      <c r="H56" s="44">
        <f t="shared" si="7"/>
        <v>1586917.93</v>
      </c>
      <c r="I56" s="44">
        <f t="shared" si="7"/>
        <v>82308.76</v>
      </c>
      <c r="J56" s="90">
        <f t="shared" si="7"/>
        <v>1827558.53</v>
      </c>
      <c r="K56" s="90">
        <f t="shared" si="7"/>
        <v>1806840.73</v>
      </c>
      <c r="L56" s="90"/>
    </row>
    <row r="57" spans="1:12" ht="38.25" customHeight="1">
      <c r="A57" s="19" t="s">
        <v>52</v>
      </c>
      <c r="B57" s="50" t="s">
        <v>53</v>
      </c>
      <c r="C57" s="51">
        <v>241</v>
      </c>
      <c r="D57" s="51"/>
      <c r="E57" s="90">
        <f t="shared" si="0"/>
        <v>0</v>
      </c>
      <c r="F57" s="44"/>
      <c r="G57" s="44"/>
      <c r="H57" s="44"/>
      <c r="I57" s="44"/>
      <c r="J57" s="90"/>
      <c r="K57" s="90"/>
      <c r="L57" s="90"/>
    </row>
    <row r="58" spans="1:12" ht="24.75" customHeight="1">
      <c r="A58" s="19" t="s">
        <v>54</v>
      </c>
      <c r="B58" s="50" t="s">
        <v>55</v>
      </c>
      <c r="C58" s="51">
        <v>242</v>
      </c>
      <c r="D58" s="51"/>
      <c r="E58" s="90">
        <f t="shared" si="0"/>
        <v>0</v>
      </c>
      <c r="F58" s="44"/>
      <c r="G58" s="44"/>
      <c r="H58" s="44"/>
      <c r="I58" s="44"/>
      <c r="J58" s="90"/>
      <c r="K58" s="90"/>
      <c r="L58" s="90"/>
    </row>
    <row r="59" spans="1:12" ht="30" customHeight="1">
      <c r="A59" s="19" t="s">
        <v>56</v>
      </c>
      <c r="B59" s="50" t="s">
        <v>57</v>
      </c>
      <c r="C59" s="51">
        <v>243</v>
      </c>
      <c r="D59" s="51"/>
      <c r="E59" s="90">
        <f t="shared" si="0"/>
        <v>0</v>
      </c>
      <c r="F59" s="44"/>
      <c r="G59" s="44"/>
      <c r="H59" s="44"/>
      <c r="I59" s="44"/>
      <c r="J59" s="90"/>
      <c r="K59" s="90"/>
      <c r="L59" s="90"/>
    </row>
    <row r="60" spans="1:12" ht="18" customHeight="1">
      <c r="A60" s="18" t="s">
        <v>58</v>
      </c>
      <c r="B60" s="50" t="s">
        <v>59</v>
      </c>
      <c r="C60" s="51">
        <v>244</v>
      </c>
      <c r="D60" s="51"/>
      <c r="E60" s="90">
        <f t="shared" si="0"/>
        <v>2749920.4399999995</v>
      </c>
      <c r="F60" s="44">
        <f>F80+F95</f>
        <v>86735</v>
      </c>
      <c r="G60" s="44">
        <f>G80+G95</f>
        <v>1165840.75</v>
      </c>
      <c r="H60" s="44">
        <f>H81+H95</f>
        <v>1415035.93</v>
      </c>
      <c r="I60" s="44">
        <f>I133</f>
        <v>82308.76</v>
      </c>
      <c r="J60" s="90">
        <f>J81+J95+J133</f>
        <v>1655676.53</v>
      </c>
      <c r="K60" s="90">
        <f>K81+K95+K133</f>
        <v>1634958.73</v>
      </c>
      <c r="L60" s="90"/>
    </row>
    <row r="61" spans="1:12" ht="18" customHeight="1">
      <c r="A61" s="21" t="s">
        <v>106</v>
      </c>
      <c r="B61" s="50" t="s">
        <v>107</v>
      </c>
      <c r="C61" s="51">
        <v>221</v>
      </c>
      <c r="D61" s="51"/>
      <c r="E61" s="90">
        <f t="shared" si="0"/>
        <v>84000</v>
      </c>
      <c r="F61" s="44"/>
      <c r="G61" s="44">
        <f>G82</f>
        <v>84000</v>
      </c>
      <c r="H61" s="44"/>
      <c r="I61" s="44"/>
      <c r="J61" s="90">
        <f>J82</f>
        <v>0</v>
      </c>
      <c r="K61" s="90">
        <f>K82</f>
        <v>0</v>
      </c>
      <c r="L61" s="90"/>
    </row>
    <row r="62" spans="1:12" ht="18" customHeight="1">
      <c r="A62" s="21" t="s">
        <v>105</v>
      </c>
      <c r="B62" s="50" t="s">
        <v>108</v>
      </c>
      <c r="C62" s="51">
        <v>223</v>
      </c>
      <c r="D62" s="51"/>
      <c r="E62" s="90">
        <f t="shared" si="0"/>
        <v>33212.24</v>
      </c>
      <c r="F62" s="44"/>
      <c r="G62" s="44"/>
      <c r="H62" s="44">
        <f>H83</f>
        <v>33212.24</v>
      </c>
      <c r="I62" s="44"/>
      <c r="J62" s="90">
        <f>J83</f>
        <v>33212.24</v>
      </c>
      <c r="K62" s="90">
        <f>K83</f>
        <v>33212.24</v>
      </c>
      <c r="L62" s="90"/>
    </row>
    <row r="63" spans="1:12" ht="16.5" customHeight="1">
      <c r="A63" s="21" t="s">
        <v>173</v>
      </c>
      <c r="B63" s="50" t="s">
        <v>174</v>
      </c>
      <c r="C63" s="51"/>
      <c r="D63" s="51"/>
      <c r="E63" s="90">
        <f t="shared" si="0"/>
        <v>2632708.1999999997</v>
      </c>
      <c r="F63" s="44">
        <f>F84+F95</f>
        <v>86735</v>
      </c>
      <c r="G63" s="44">
        <f>G84+G95</f>
        <v>1081840.75</v>
      </c>
      <c r="H63" s="44">
        <f>H84+H95</f>
        <v>1381823.69</v>
      </c>
      <c r="I63" s="44">
        <f>I133</f>
        <v>82308.76</v>
      </c>
      <c r="J63" s="90">
        <f>J84+J95+J133</f>
        <v>1622464.29</v>
      </c>
      <c r="K63" s="90">
        <f>K84+K95+K133</f>
        <v>1601746.49</v>
      </c>
      <c r="L63" s="90"/>
    </row>
    <row r="64" spans="1:12" ht="16.5" customHeight="1">
      <c r="A64" s="18" t="s">
        <v>203</v>
      </c>
      <c r="B64" s="50" t="s">
        <v>60</v>
      </c>
      <c r="C64" s="51">
        <v>247</v>
      </c>
      <c r="D64" s="51"/>
      <c r="E64" s="90">
        <f t="shared" si="0"/>
        <v>171882</v>
      </c>
      <c r="F64" s="44">
        <f aca="true" t="shared" si="8" ref="F64:K64">SUM(F85)</f>
        <v>0</v>
      </c>
      <c r="G64" s="44">
        <f t="shared" si="8"/>
        <v>0</v>
      </c>
      <c r="H64" s="44">
        <f t="shared" si="8"/>
        <v>171882</v>
      </c>
      <c r="I64" s="44">
        <f t="shared" si="8"/>
        <v>0</v>
      </c>
      <c r="J64" s="90">
        <f t="shared" si="8"/>
        <v>171882</v>
      </c>
      <c r="K64" s="90">
        <f t="shared" si="8"/>
        <v>171882</v>
      </c>
      <c r="L64" s="90"/>
    </row>
    <row r="65" spans="1:12" ht="25.5">
      <c r="A65" s="20" t="s">
        <v>109</v>
      </c>
      <c r="B65" s="50" t="s">
        <v>202</v>
      </c>
      <c r="C65" s="51">
        <v>400</v>
      </c>
      <c r="D65" s="51"/>
      <c r="E65" s="90">
        <f t="shared" si="0"/>
        <v>0</v>
      </c>
      <c r="F65" s="44"/>
      <c r="G65" s="44"/>
      <c r="H65" s="44"/>
      <c r="I65" s="44"/>
      <c r="J65" s="90"/>
      <c r="K65" s="90"/>
      <c r="L65" s="90"/>
    </row>
    <row r="66" spans="1:12" ht="18" customHeight="1">
      <c r="A66" s="22" t="s">
        <v>115</v>
      </c>
      <c r="B66" s="56"/>
      <c r="C66" s="57"/>
      <c r="D66" s="57"/>
      <c r="E66" s="102">
        <f t="shared" si="0"/>
        <v>8407924.06</v>
      </c>
      <c r="F66" s="92">
        <f aca="true" t="shared" si="9" ref="F66:L66">F67+F86+F124</f>
        <v>369314.64</v>
      </c>
      <c r="G66" s="92">
        <f t="shared" si="9"/>
        <v>5177436.86</v>
      </c>
      <c r="H66" s="92">
        <f t="shared" si="9"/>
        <v>2778863.8</v>
      </c>
      <c r="I66" s="92">
        <f t="shared" si="9"/>
        <v>82308.76</v>
      </c>
      <c r="J66" s="90">
        <f t="shared" si="9"/>
        <v>7946171.48</v>
      </c>
      <c r="K66" s="90">
        <f t="shared" si="9"/>
        <v>8204373.679999999</v>
      </c>
      <c r="L66" s="90">
        <f t="shared" si="9"/>
        <v>0</v>
      </c>
    </row>
    <row r="67" spans="1:12" ht="25.5">
      <c r="A67" s="22" t="s">
        <v>116</v>
      </c>
      <c r="B67" s="58"/>
      <c r="C67" s="59"/>
      <c r="D67" s="59"/>
      <c r="E67" s="48">
        <f t="shared" si="0"/>
        <v>7484900</v>
      </c>
      <c r="F67" s="89">
        <f aca="true" t="shared" si="10" ref="F67:L67">F68+F74+F78+F80</f>
        <v>0</v>
      </c>
      <c r="G67" s="89">
        <f>G68+G74+G78+G80</f>
        <v>5087800</v>
      </c>
      <c r="H67" s="89">
        <f t="shared" si="10"/>
        <v>2397100</v>
      </c>
      <c r="I67" s="89">
        <f t="shared" si="10"/>
        <v>0</v>
      </c>
      <c r="J67" s="43">
        <f t="shared" si="10"/>
        <v>7306900</v>
      </c>
      <c r="K67" s="43">
        <f t="shared" si="10"/>
        <v>7517499.999999999</v>
      </c>
      <c r="L67" s="43">
        <f t="shared" si="10"/>
        <v>0</v>
      </c>
    </row>
    <row r="68" spans="1:12" ht="20.25" customHeight="1">
      <c r="A68" s="12" t="s">
        <v>92</v>
      </c>
      <c r="B68" s="50" t="s">
        <v>35</v>
      </c>
      <c r="C68" s="54" t="s">
        <v>16</v>
      </c>
      <c r="D68" s="51"/>
      <c r="E68" s="90">
        <f t="shared" si="0"/>
        <v>5180683.62</v>
      </c>
      <c r="F68" s="44">
        <f>F69+F71+F70</f>
        <v>0</v>
      </c>
      <c r="G68" s="44">
        <f>G69+G71+G70</f>
        <v>4009017.75</v>
      </c>
      <c r="H68" s="44">
        <f>H69+H71</f>
        <v>1171665.87</v>
      </c>
      <c r="I68" s="44"/>
      <c r="J68" s="90">
        <f>J69+J71+J70</f>
        <v>5833454.95</v>
      </c>
      <c r="K68" s="90">
        <f>K69+K71+K70</f>
        <v>6085454.949999999</v>
      </c>
      <c r="L68" s="45"/>
    </row>
    <row r="69" spans="1:12" ht="17.25" customHeight="1">
      <c r="A69" s="16" t="s">
        <v>93</v>
      </c>
      <c r="B69" s="50" t="s">
        <v>36</v>
      </c>
      <c r="C69" s="51">
        <v>111</v>
      </c>
      <c r="D69" s="51"/>
      <c r="E69" s="90">
        <f t="shared" si="0"/>
        <v>3979019.6799999997</v>
      </c>
      <c r="F69" s="44">
        <f>300000+20000-320000</f>
        <v>0</v>
      </c>
      <c r="G69" s="100">
        <f>2189913.88+848957.4+40251.42</f>
        <v>3079122.6999999997</v>
      </c>
      <c r="H69" s="100">
        <f>58303.32+841593.66</f>
        <v>899896.98</v>
      </c>
      <c r="I69" s="44"/>
      <c r="J69" s="90">
        <f>2466820.28+1024961.61+58294.94+88709.68+841593.66</f>
        <v>4480380.17</v>
      </c>
      <c r="K69" s="90">
        <f>2566205.84+1122964.68+60599.08+82565.29+841593.66</f>
        <v>4673928.55</v>
      </c>
      <c r="L69" s="45"/>
    </row>
    <row r="70" spans="1:12" ht="26.25" customHeight="1">
      <c r="A70" s="17" t="s">
        <v>37</v>
      </c>
      <c r="B70" s="50" t="s">
        <v>38</v>
      </c>
      <c r="C70" s="51">
        <v>112</v>
      </c>
      <c r="D70" s="51"/>
      <c r="E70" s="90">
        <f t="shared" si="0"/>
        <v>0</v>
      </c>
      <c r="F70" s="44"/>
      <c r="G70" s="99">
        <v>0</v>
      </c>
      <c r="H70" s="99"/>
      <c r="I70" s="44"/>
      <c r="J70" s="90"/>
      <c r="K70" s="90"/>
      <c r="L70" s="45"/>
    </row>
    <row r="71" spans="1:12" ht="38.25">
      <c r="A71" s="17" t="s">
        <v>39</v>
      </c>
      <c r="B71" s="50" t="s">
        <v>40</v>
      </c>
      <c r="C71" s="51">
        <v>119</v>
      </c>
      <c r="D71" s="51"/>
      <c r="E71" s="90">
        <f t="shared" si="0"/>
        <v>1201663.94</v>
      </c>
      <c r="F71" s="44">
        <f>F72</f>
        <v>0</v>
      </c>
      <c r="G71" s="99">
        <f>G72</f>
        <v>929895.05</v>
      </c>
      <c r="H71" s="99">
        <f>H72</f>
        <v>271768.89</v>
      </c>
      <c r="I71" s="44"/>
      <c r="J71" s="90">
        <f>J72</f>
        <v>1353074.78</v>
      </c>
      <c r="K71" s="90">
        <f>K72</f>
        <v>1411526.4</v>
      </c>
      <c r="L71" s="45"/>
    </row>
    <row r="72" spans="1:12" ht="18" customHeight="1">
      <c r="A72" s="18" t="s">
        <v>94</v>
      </c>
      <c r="B72" s="50" t="s">
        <v>41</v>
      </c>
      <c r="C72" s="51">
        <v>119</v>
      </c>
      <c r="D72" s="51"/>
      <c r="E72" s="90">
        <f t="shared" si="0"/>
        <v>1201663.94</v>
      </c>
      <c r="F72" s="44">
        <f>90600+6040-96640</f>
        <v>0</v>
      </c>
      <c r="G72" s="99">
        <f>661353.99+256385.13+12155.93</f>
        <v>929895.05</v>
      </c>
      <c r="H72" s="99">
        <f>17607.6+254161.29</f>
        <v>271768.89</v>
      </c>
      <c r="I72" s="44"/>
      <c r="J72" s="90">
        <f>744979.72+309538.39+17605.06+26790.32+254161.29</f>
        <v>1353074.78</v>
      </c>
      <c r="K72" s="90">
        <f>774994.16+339135.32+18300.92+24934.71+254161.29</f>
        <v>1411526.4</v>
      </c>
      <c r="L72" s="45"/>
    </row>
    <row r="73" spans="1:12" ht="25.5">
      <c r="A73" s="19" t="s">
        <v>95</v>
      </c>
      <c r="B73" s="50" t="s">
        <v>42</v>
      </c>
      <c r="C73" s="51">
        <v>119</v>
      </c>
      <c r="D73" s="51"/>
      <c r="E73" s="90">
        <f t="shared" si="0"/>
        <v>0</v>
      </c>
      <c r="F73" s="44"/>
      <c r="G73" s="100"/>
      <c r="H73" s="99"/>
      <c r="I73" s="44"/>
      <c r="J73" s="90"/>
      <c r="K73" s="90"/>
      <c r="L73" s="45"/>
    </row>
    <row r="74" spans="1:12" ht="18" customHeight="1">
      <c r="A74" s="20" t="s">
        <v>96</v>
      </c>
      <c r="B74" s="50" t="s">
        <v>43</v>
      </c>
      <c r="C74" s="51">
        <v>850</v>
      </c>
      <c r="D74" s="51"/>
      <c r="E74" s="90">
        <f t="shared" si="0"/>
        <v>20280</v>
      </c>
      <c r="F74" s="44"/>
      <c r="G74" s="99"/>
      <c r="H74" s="99">
        <f>H75+H76+H77</f>
        <v>20280</v>
      </c>
      <c r="I74" s="44"/>
      <c r="J74" s="90">
        <f>J75+J76+J77</f>
        <v>0</v>
      </c>
      <c r="K74" s="90">
        <f>K75+K76+K77</f>
        <v>0</v>
      </c>
      <c r="L74" s="45"/>
    </row>
    <row r="75" spans="1:12" ht="19.5" customHeight="1">
      <c r="A75" s="19" t="s">
        <v>97</v>
      </c>
      <c r="B75" s="50" t="s">
        <v>44</v>
      </c>
      <c r="C75" s="51">
        <v>851</v>
      </c>
      <c r="D75" s="51"/>
      <c r="E75" s="90">
        <f t="shared" si="0"/>
        <v>6680</v>
      </c>
      <c r="F75" s="44"/>
      <c r="G75" s="99"/>
      <c r="H75" s="99">
        <f>6280+400</f>
        <v>6680</v>
      </c>
      <c r="I75" s="44"/>
      <c r="J75" s="90">
        <v>0</v>
      </c>
      <c r="K75" s="90"/>
      <c r="L75" s="45"/>
    </row>
    <row r="76" spans="1:12" ht="38.25">
      <c r="A76" s="19" t="s">
        <v>45</v>
      </c>
      <c r="B76" s="50" t="s">
        <v>46</v>
      </c>
      <c r="C76" s="51">
        <v>852</v>
      </c>
      <c r="D76" s="51"/>
      <c r="E76" s="90">
        <f t="shared" si="0"/>
        <v>0</v>
      </c>
      <c r="F76" s="44"/>
      <c r="G76" s="99"/>
      <c r="H76" s="99">
        <v>0</v>
      </c>
      <c r="I76" s="44"/>
      <c r="J76" s="90">
        <v>0</v>
      </c>
      <c r="K76" s="90"/>
      <c r="L76" s="45"/>
    </row>
    <row r="77" spans="1:12" ht="25.5">
      <c r="A77" s="19" t="s">
        <v>47</v>
      </c>
      <c r="B77" s="50" t="s">
        <v>48</v>
      </c>
      <c r="C77" s="51">
        <v>853</v>
      </c>
      <c r="D77" s="51"/>
      <c r="E77" s="90">
        <f t="shared" si="0"/>
        <v>13600</v>
      </c>
      <c r="F77" s="44"/>
      <c r="G77" s="99"/>
      <c r="H77" s="99">
        <v>13600</v>
      </c>
      <c r="I77" s="44"/>
      <c r="J77" s="90"/>
      <c r="K77" s="90"/>
      <c r="L77" s="45"/>
    </row>
    <row r="78" spans="1:12" ht="25.5">
      <c r="A78" s="20" t="s">
        <v>98</v>
      </c>
      <c r="B78" s="50" t="s">
        <v>49</v>
      </c>
      <c r="C78" s="51" t="s">
        <v>16</v>
      </c>
      <c r="D78" s="51"/>
      <c r="E78" s="90">
        <f t="shared" si="0"/>
        <v>0</v>
      </c>
      <c r="F78" s="44"/>
      <c r="G78" s="44"/>
      <c r="H78" s="44"/>
      <c r="I78" s="44"/>
      <c r="J78" s="90"/>
      <c r="K78" s="90"/>
      <c r="L78" s="45"/>
    </row>
    <row r="79" spans="1:12" ht="42" customHeight="1">
      <c r="A79" s="19" t="s">
        <v>99</v>
      </c>
      <c r="B79" s="50" t="s">
        <v>50</v>
      </c>
      <c r="C79" s="51">
        <v>831</v>
      </c>
      <c r="D79" s="51"/>
      <c r="E79" s="90">
        <f t="shared" si="0"/>
        <v>0</v>
      </c>
      <c r="F79" s="44"/>
      <c r="G79" s="44"/>
      <c r="H79" s="44"/>
      <c r="I79" s="44"/>
      <c r="J79" s="90"/>
      <c r="K79" s="90"/>
      <c r="L79" s="45"/>
    </row>
    <row r="80" spans="1:12" ht="16.5" customHeight="1">
      <c r="A80" s="20" t="s">
        <v>104</v>
      </c>
      <c r="B80" s="50" t="s">
        <v>51</v>
      </c>
      <c r="C80" s="51" t="s">
        <v>16</v>
      </c>
      <c r="D80" s="51"/>
      <c r="E80" s="90">
        <f t="shared" si="0"/>
        <v>2283936.38</v>
      </c>
      <c r="F80" s="44">
        <f aca="true" t="shared" si="11" ref="F80:K80">SUM(F81+F85)</f>
        <v>0</v>
      </c>
      <c r="G80" s="44">
        <f t="shared" si="11"/>
        <v>1078782.25</v>
      </c>
      <c r="H80" s="44">
        <f t="shared" si="11"/>
        <v>1205154.13</v>
      </c>
      <c r="I80" s="44">
        <f t="shared" si="11"/>
        <v>0</v>
      </c>
      <c r="J80" s="90">
        <f t="shared" si="11"/>
        <v>1473445.05</v>
      </c>
      <c r="K80" s="91">
        <f t="shared" si="11"/>
        <v>1432045.05</v>
      </c>
      <c r="L80" s="45"/>
    </row>
    <row r="81" spans="1:12" ht="18" customHeight="1">
      <c r="A81" s="18" t="s">
        <v>58</v>
      </c>
      <c r="B81" s="50" t="s">
        <v>59</v>
      </c>
      <c r="C81" s="51">
        <v>244</v>
      </c>
      <c r="D81" s="51"/>
      <c r="E81" s="90">
        <f>F81+G81+H81+I81</f>
        <v>2112054.38</v>
      </c>
      <c r="F81" s="44">
        <f aca="true" t="shared" si="12" ref="F81:K81">SUM(F82:F84)</f>
        <v>0</v>
      </c>
      <c r="G81" s="44">
        <f>SUM(G82:G84)</f>
        <v>1078782.25</v>
      </c>
      <c r="H81" s="44">
        <f t="shared" si="12"/>
        <v>1033272.13</v>
      </c>
      <c r="I81" s="44">
        <f t="shared" si="12"/>
        <v>0</v>
      </c>
      <c r="J81" s="90">
        <f t="shared" si="12"/>
        <v>1301563.05</v>
      </c>
      <c r="K81" s="90">
        <f t="shared" si="12"/>
        <v>1260163.05</v>
      </c>
      <c r="L81" s="45"/>
    </row>
    <row r="82" spans="1:12" ht="15.75" customHeight="1">
      <c r="A82" s="21" t="s">
        <v>106</v>
      </c>
      <c r="B82" s="50" t="s">
        <v>107</v>
      </c>
      <c r="C82" s="51">
        <v>221</v>
      </c>
      <c r="D82" s="51"/>
      <c r="E82" s="90">
        <f t="shared" si="0"/>
        <v>84000</v>
      </c>
      <c r="F82" s="44"/>
      <c r="G82" s="44">
        <f>10800+73200</f>
        <v>84000</v>
      </c>
      <c r="H82" s="44"/>
      <c r="I82" s="44"/>
      <c r="J82" s="90">
        <v>0</v>
      </c>
      <c r="K82" s="90">
        <v>0</v>
      </c>
      <c r="L82" s="45"/>
    </row>
    <row r="83" spans="1:12" ht="16.5" customHeight="1">
      <c r="A83" s="21" t="s">
        <v>105</v>
      </c>
      <c r="B83" s="50" t="s">
        <v>108</v>
      </c>
      <c r="C83" s="51">
        <v>223</v>
      </c>
      <c r="D83" s="51"/>
      <c r="E83" s="90">
        <f t="shared" si="0"/>
        <v>33212.24</v>
      </c>
      <c r="F83" s="44"/>
      <c r="G83" s="99"/>
      <c r="H83" s="99">
        <f>12761.6+20450.64</f>
        <v>33212.24</v>
      </c>
      <c r="I83" s="44"/>
      <c r="J83" s="90">
        <f>12761.6+20450.64</f>
        <v>33212.24</v>
      </c>
      <c r="K83" s="90">
        <f>12761.6+20450.64</f>
        <v>33212.24</v>
      </c>
      <c r="L83" s="45"/>
    </row>
    <row r="84" spans="1:12" ht="15.75" customHeight="1">
      <c r="A84" s="21" t="s">
        <v>173</v>
      </c>
      <c r="B84" s="50" t="s">
        <v>174</v>
      </c>
      <c r="C84" s="51" t="s">
        <v>16</v>
      </c>
      <c r="D84" s="51"/>
      <c r="E84" s="90">
        <f t="shared" si="0"/>
        <v>1994842.1400000001</v>
      </c>
      <c r="F84" s="44"/>
      <c r="G84" s="99">
        <f>19000+738789.71+56934+30008.42+1500+31031.86+97225.61+20292.65</f>
        <v>994782.25</v>
      </c>
      <c r="H84" s="99">
        <f>4800+49989.08+32988.64+60700+851582.17</f>
        <v>1000059.89</v>
      </c>
      <c r="I84" s="44"/>
      <c r="J84" s="90">
        <f>700000+568350.81</f>
        <v>1268350.81</v>
      </c>
      <c r="K84" s="90">
        <f>700000+526950.81</f>
        <v>1226950.81</v>
      </c>
      <c r="L84" s="45"/>
    </row>
    <row r="85" spans="1:12" ht="16.5" customHeight="1">
      <c r="A85" s="18" t="s">
        <v>203</v>
      </c>
      <c r="B85" s="50" t="s">
        <v>60</v>
      </c>
      <c r="C85" s="51">
        <v>247</v>
      </c>
      <c r="D85" s="51"/>
      <c r="E85" s="90">
        <f t="shared" si="0"/>
        <v>171882</v>
      </c>
      <c r="F85" s="44"/>
      <c r="G85" s="44"/>
      <c r="H85" s="44">
        <f>171882</f>
        <v>171882</v>
      </c>
      <c r="I85" s="44"/>
      <c r="J85" s="90">
        <v>171882</v>
      </c>
      <c r="K85" s="90">
        <v>171882</v>
      </c>
      <c r="L85" s="45"/>
    </row>
    <row r="86" spans="1:12" ht="19.5" customHeight="1">
      <c r="A86" s="22" t="s">
        <v>117</v>
      </c>
      <c r="B86" s="58"/>
      <c r="C86" s="59"/>
      <c r="D86" s="59"/>
      <c r="E86" s="48">
        <f t="shared" si="0"/>
        <v>840715.3</v>
      </c>
      <c r="F86" s="89">
        <f aca="true" t="shared" si="13" ref="F86:L86">F87+F95</f>
        <v>369314.64</v>
      </c>
      <c r="G86" s="89">
        <f t="shared" si="13"/>
        <v>89636.86</v>
      </c>
      <c r="H86" s="89">
        <f t="shared" si="13"/>
        <v>381763.8</v>
      </c>
      <c r="I86" s="89">
        <f t="shared" si="13"/>
        <v>0</v>
      </c>
      <c r="J86" s="43">
        <f t="shared" si="13"/>
        <v>568171.48</v>
      </c>
      <c r="K86" s="43">
        <f t="shared" si="13"/>
        <v>615773.6799999999</v>
      </c>
      <c r="L86" s="43">
        <f t="shared" si="13"/>
        <v>0</v>
      </c>
    </row>
    <row r="87" spans="1:12" ht="12.75">
      <c r="A87" s="12" t="s">
        <v>92</v>
      </c>
      <c r="B87" s="50" t="s">
        <v>35</v>
      </c>
      <c r="C87" s="54" t="s">
        <v>16</v>
      </c>
      <c r="D87" s="51" t="s">
        <v>121</v>
      </c>
      <c r="E87" s="43">
        <f t="shared" si="0"/>
        <v>285158</v>
      </c>
      <c r="F87" s="96">
        <f>SUM(F89+F91)+F88</f>
        <v>282579.64</v>
      </c>
      <c r="G87" s="96">
        <f>SUM(G89+G91)+G88</f>
        <v>2578.3599999999997</v>
      </c>
      <c r="H87" s="96"/>
      <c r="I87" s="96"/>
      <c r="J87" s="43">
        <f>SUM(J89+J91)+J88</f>
        <v>285158</v>
      </c>
      <c r="K87" s="43">
        <f>SUM(K89+K91)+K88</f>
        <v>312078</v>
      </c>
      <c r="L87" s="90"/>
    </row>
    <row r="88" spans="1:12" ht="12.75">
      <c r="A88" s="16" t="s">
        <v>93</v>
      </c>
      <c r="B88" s="50" t="s">
        <v>36</v>
      </c>
      <c r="C88" s="51">
        <v>111</v>
      </c>
      <c r="D88" s="51" t="s">
        <v>198</v>
      </c>
      <c r="E88" s="90">
        <f>F88+G88+H88+I88</f>
        <v>120000</v>
      </c>
      <c r="F88" s="99">
        <f>120000</f>
        <v>120000</v>
      </c>
      <c r="G88" s="99"/>
      <c r="H88" s="44"/>
      <c r="I88" s="44"/>
      <c r="J88" s="90">
        <v>120000</v>
      </c>
      <c r="K88" s="90">
        <v>120000</v>
      </c>
      <c r="L88" s="45"/>
    </row>
    <row r="89" spans="1:14" ht="39" customHeight="1">
      <c r="A89" s="17" t="s">
        <v>215</v>
      </c>
      <c r="B89" s="50" t="s">
        <v>36</v>
      </c>
      <c r="C89" s="51">
        <v>111</v>
      </c>
      <c r="D89" s="51" t="s">
        <v>213</v>
      </c>
      <c r="E89" s="90">
        <f t="shared" si="0"/>
        <v>99015</v>
      </c>
      <c r="F89" s="99">
        <v>97034.7</v>
      </c>
      <c r="G89" s="99">
        <v>1980.3</v>
      </c>
      <c r="H89" s="44"/>
      <c r="I89" s="44"/>
      <c r="J89" s="90">
        <f>1980.3+97034.7</f>
        <v>99015</v>
      </c>
      <c r="K89" s="90">
        <f>17465.25+107286.54</f>
        <v>124751.79</v>
      </c>
      <c r="L89" s="45"/>
      <c r="M89" s="101">
        <f>J89+J93</f>
        <v>128918</v>
      </c>
      <c r="N89" s="101">
        <f>K89+K93</f>
        <v>155838</v>
      </c>
    </row>
    <row r="90" spans="1:12" ht="25.5">
      <c r="A90" s="17" t="s">
        <v>37</v>
      </c>
      <c r="B90" s="50" t="s">
        <v>38</v>
      </c>
      <c r="C90" s="51">
        <v>112</v>
      </c>
      <c r="D90" s="51" t="s">
        <v>121</v>
      </c>
      <c r="E90" s="90">
        <f t="shared" si="0"/>
        <v>0</v>
      </c>
      <c r="F90" s="44"/>
      <c r="G90" s="44"/>
      <c r="H90" s="44"/>
      <c r="I90" s="44"/>
      <c r="J90" s="90"/>
      <c r="K90" s="90"/>
      <c r="L90" s="45"/>
    </row>
    <row r="91" spans="1:12" ht="38.25">
      <c r="A91" s="17" t="s">
        <v>39</v>
      </c>
      <c r="B91" s="50" t="s">
        <v>40</v>
      </c>
      <c r="C91" s="51">
        <v>119</v>
      </c>
      <c r="D91" s="51" t="s">
        <v>198</v>
      </c>
      <c r="E91" s="43">
        <f t="shared" si="0"/>
        <v>66143</v>
      </c>
      <c r="F91" s="98">
        <f>SUM(F92:F93)</f>
        <v>65544.94</v>
      </c>
      <c r="G91" s="98">
        <f>SUM(G92:G93)</f>
        <v>598.06</v>
      </c>
      <c r="H91" s="98"/>
      <c r="I91" s="98"/>
      <c r="J91" s="43">
        <f>SUM(J93)+J92</f>
        <v>66143</v>
      </c>
      <c r="K91" s="43">
        <f>SUM(K93)+K92</f>
        <v>67326.20999999999</v>
      </c>
      <c r="L91" s="45"/>
    </row>
    <row r="92" spans="1:12" ht="12.75">
      <c r="A92" s="18" t="s">
        <v>94</v>
      </c>
      <c r="B92" s="50" t="s">
        <v>41</v>
      </c>
      <c r="C92" s="51">
        <v>119</v>
      </c>
      <c r="D92" s="51" t="s">
        <v>198</v>
      </c>
      <c r="E92" s="90">
        <f>F92+G92+H92+I92</f>
        <v>36240</v>
      </c>
      <c r="F92" s="99">
        <f>36240</f>
        <v>36240</v>
      </c>
      <c r="G92" s="99"/>
      <c r="H92" s="44"/>
      <c r="I92" s="44"/>
      <c r="J92" s="90">
        <v>36240</v>
      </c>
      <c r="K92" s="90">
        <v>36240</v>
      </c>
      <c r="L92" s="45"/>
    </row>
    <row r="93" spans="1:12" ht="47.25" customHeight="1">
      <c r="A93" s="19" t="s">
        <v>214</v>
      </c>
      <c r="B93" s="50" t="s">
        <v>41</v>
      </c>
      <c r="C93" s="51">
        <v>119</v>
      </c>
      <c r="D93" s="51" t="s">
        <v>213</v>
      </c>
      <c r="E93" s="90">
        <f aca="true" t="shared" si="14" ref="E93:E137">F93+G93+H93+I93</f>
        <v>29903</v>
      </c>
      <c r="F93" s="99">
        <v>29304.94</v>
      </c>
      <c r="G93" s="99">
        <v>598.06</v>
      </c>
      <c r="H93" s="44"/>
      <c r="I93" s="44"/>
      <c r="J93" s="90">
        <f>598.06+29304.94</f>
        <v>29903</v>
      </c>
      <c r="K93" s="90">
        <f>4352.07+26734.14</f>
        <v>31086.21</v>
      </c>
      <c r="L93" s="45"/>
    </row>
    <row r="94" spans="1:12" ht="25.5">
      <c r="A94" s="19" t="s">
        <v>95</v>
      </c>
      <c r="B94" s="50" t="s">
        <v>42</v>
      </c>
      <c r="C94" s="51">
        <v>119</v>
      </c>
      <c r="D94" s="51" t="s">
        <v>121</v>
      </c>
      <c r="E94" s="90">
        <f t="shared" si="14"/>
        <v>0</v>
      </c>
      <c r="F94" s="44"/>
      <c r="G94" s="44"/>
      <c r="H94" s="44"/>
      <c r="I94" s="44"/>
      <c r="J94" s="90"/>
      <c r="K94" s="90"/>
      <c r="L94" s="45"/>
    </row>
    <row r="95" spans="1:12" ht="19.5" customHeight="1">
      <c r="A95" s="93" t="s">
        <v>104</v>
      </c>
      <c r="B95" s="94" t="s">
        <v>120</v>
      </c>
      <c r="C95" s="95">
        <v>244</v>
      </c>
      <c r="D95" s="95" t="s">
        <v>121</v>
      </c>
      <c r="E95" s="43">
        <f t="shared" si="14"/>
        <v>555557.3</v>
      </c>
      <c r="F95" s="96">
        <f>SUM(F97:F117)</f>
        <v>86735</v>
      </c>
      <c r="G95" s="96">
        <f>SUM(G96:G117)</f>
        <v>87058.5</v>
      </c>
      <c r="H95" s="96">
        <f>SUM(H97:H117)</f>
        <v>381763.8</v>
      </c>
      <c r="I95" s="96"/>
      <c r="J95" s="43">
        <f>SUM(J97:J117)</f>
        <v>283013.48</v>
      </c>
      <c r="K95" s="43">
        <f>SUM(K97:K117)</f>
        <v>303695.68</v>
      </c>
      <c r="L95" s="43"/>
    </row>
    <row r="96" spans="1:12" ht="26.25" customHeight="1">
      <c r="A96" s="19" t="s">
        <v>119</v>
      </c>
      <c r="B96" s="50"/>
      <c r="C96" s="51"/>
      <c r="D96" s="51" t="s">
        <v>121</v>
      </c>
      <c r="E96" s="90"/>
      <c r="F96" s="44"/>
      <c r="G96" s="44"/>
      <c r="H96" s="44"/>
      <c r="I96" s="44"/>
      <c r="J96" s="90"/>
      <c r="K96" s="90"/>
      <c r="L96" s="45"/>
    </row>
    <row r="97" spans="1:12" ht="27" customHeight="1">
      <c r="A97" s="84" t="s">
        <v>178</v>
      </c>
      <c r="B97" s="50"/>
      <c r="C97" s="51"/>
      <c r="D97" s="65" t="s">
        <v>164</v>
      </c>
      <c r="E97" s="90">
        <f t="shared" si="14"/>
        <v>64093.5</v>
      </c>
      <c r="F97" s="44"/>
      <c r="G97" s="99">
        <v>64093.5</v>
      </c>
      <c r="H97" s="99"/>
      <c r="I97" s="44"/>
      <c r="J97" s="90">
        <v>53839.42</v>
      </c>
      <c r="K97" s="90">
        <v>69323.79</v>
      </c>
      <c r="L97" s="45"/>
    </row>
    <row r="98" spans="1:12" ht="25.5" customHeight="1">
      <c r="A98" s="8" t="s">
        <v>178</v>
      </c>
      <c r="B98" s="50"/>
      <c r="C98" s="51"/>
      <c r="D98" s="65" t="s">
        <v>165</v>
      </c>
      <c r="E98" s="90">
        <f t="shared" si="14"/>
        <v>3302.4</v>
      </c>
      <c r="F98" s="44"/>
      <c r="G98" s="99"/>
      <c r="H98" s="99">
        <v>3302.4</v>
      </c>
      <c r="I98" s="44"/>
      <c r="J98" s="90">
        <v>2774.06</v>
      </c>
      <c r="K98" s="90">
        <v>3571.89</v>
      </c>
      <c r="L98" s="45"/>
    </row>
    <row r="99" spans="1:12" ht="24.75" customHeight="1">
      <c r="A99" s="8" t="s">
        <v>178</v>
      </c>
      <c r="B99" s="50"/>
      <c r="C99" s="51"/>
      <c r="D99" s="65" t="s">
        <v>166</v>
      </c>
      <c r="E99" s="90">
        <f t="shared" si="14"/>
        <v>11500</v>
      </c>
      <c r="F99" s="44"/>
      <c r="G99" s="99"/>
      <c r="H99" s="99">
        <v>11500</v>
      </c>
      <c r="I99" s="44"/>
      <c r="J99" s="90">
        <v>9700</v>
      </c>
      <c r="K99" s="90">
        <v>12400</v>
      </c>
      <c r="L99" s="45"/>
    </row>
    <row r="100" spans="1:12" ht="19.5" customHeight="1">
      <c r="A100" s="8" t="s">
        <v>179</v>
      </c>
      <c r="B100" s="50"/>
      <c r="C100" s="51"/>
      <c r="D100" s="65" t="s">
        <v>163</v>
      </c>
      <c r="E100" s="90">
        <f t="shared" si="14"/>
        <v>137930</v>
      </c>
      <c r="F100" s="44"/>
      <c r="G100" s="99"/>
      <c r="H100" s="99">
        <v>137930</v>
      </c>
      <c r="I100" s="44"/>
      <c r="J100" s="90">
        <v>0</v>
      </c>
      <c r="K100" s="90">
        <v>0</v>
      </c>
      <c r="L100" s="45"/>
    </row>
    <row r="101" spans="1:12" ht="27" customHeight="1">
      <c r="A101" s="84" t="s">
        <v>180</v>
      </c>
      <c r="B101" s="50"/>
      <c r="C101" s="51"/>
      <c r="D101" s="65" t="s">
        <v>167</v>
      </c>
      <c r="E101" s="90">
        <f t="shared" si="14"/>
        <v>125731.4</v>
      </c>
      <c r="F101" s="44"/>
      <c r="G101" s="99"/>
      <c r="H101" s="99">
        <v>125731.4</v>
      </c>
      <c r="I101" s="44"/>
      <c r="J101" s="90">
        <v>0</v>
      </c>
      <c r="K101" s="90">
        <v>0</v>
      </c>
      <c r="L101" s="45"/>
    </row>
    <row r="102" spans="1:12" ht="25.5" customHeight="1">
      <c r="A102" s="8" t="s">
        <v>181</v>
      </c>
      <c r="B102" s="50"/>
      <c r="C102" s="51"/>
      <c r="D102" s="65" t="s">
        <v>168</v>
      </c>
      <c r="E102" s="90">
        <f t="shared" si="14"/>
        <v>10100</v>
      </c>
      <c r="F102" s="44"/>
      <c r="G102" s="99"/>
      <c r="H102" s="99">
        <v>10100</v>
      </c>
      <c r="I102" s="44"/>
      <c r="J102" s="90">
        <v>10100</v>
      </c>
      <c r="K102" s="90">
        <v>10100</v>
      </c>
      <c r="L102" s="45"/>
    </row>
    <row r="103" spans="1:12" ht="28.5" customHeight="1">
      <c r="A103" s="8" t="s">
        <v>182</v>
      </c>
      <c r="B103" s="50"/>
      <c r="C103" s="51"/>
      <c r="D103" s="65" t="s">
        <v>169</v>
      </c>
      <c r="E103" s="90">
        <f t="shared" si="14"/>
        <v>92900</v>
      </c>
      <c r="F103" s="44"/>
      <c r="G103" s="99"/>
      <c r="H103" s="99">
        <v>92900</v>
      </c>
      <c r="I103" s="44"/>
      <c r="J103" s="90">
        <v>96600</v>
      </c>
      <c r="K103" s="90">
        <v>96600</v>
      </c>
      <c r="L103" s="45"/>
    </row>
    <row r="104" spans="1:12" ht="22.5" customHeight="1">
      <c r="A104" s="8" t="s">
        <v>183</v>
      </c>
      <c r="B104" s="50"/>
      <c r="C104" s="51"/>
      <c r="D104" s="65" t="s">
        <v>170</v>
      </c>
      <c r="E104" s="90">
        <f t="shared" si="14"/>
        <v>5200</v>
      </c>
      <c r="F104" s="44"/>
      <c r="G104" s="99">
        <v>5200</v>
      </c>
      <c r="H104" s="99"/>
      <c r="I104" s="44"/>
      <c r="J104" s="90">
        <v>5200</v>
      </c>
      <c r="K104" s="90">
        <v>6800</v>
      </c>
      <c r="L104" s="45"/>
    </row>
    <row r="105" spans="1:12" ht="21" customHeight="1">
      <c r="A105" s="8" t="s">
        <v>183</v>
      </c>
      <c r="B105" s="50"/>
      <c r="C105" s="51"/>
      <c r="D105" s="65" t="s">
        <v>212</v>
      </c>
      <c r="E105" s="90">
        <f t="shared" si="14"/>
        <v>300</v>
      </c>
      <c r="F105" s="44"/>
      <c r="G105" s="99"/>
      <c r="H105" s="99">
        <v>300</v>
      </c>
      <c r="I105" s="44"/>
      <c r="J105" s="90">
        <v>300</v>
      </c>
      <c r="K105" s="90">
        <v>400</v>
      </c>
      <c r="L105" s="45"/>
    </row>
    <row r="106" spans="1:12" ht="30" customHeight="1">
      <c r="A106" s="8" t="s">
        <v>184</v>
      </c>
      <c r="B106" s="50"/>
      <c r="C106" s="51"/>
      <c r="D106" s="65" t="s">
        <v>177</v>
      </c>
      <c r="E106" s="90">
        <f t="shared" si="14"/>
        <v>0</v>
      </c>
      <c r="F106" s="44"/>
      <c r="G106" s="44"/>
      <c r="H106" s="44">
        <v>0</v>
      </c>
      <c r="I106" s="44"/>
      <c r="J106" s="90"/>
      <c r="K106" s="90"/>
      <c r="L106" s="45"/>
    </row>
    <row r="107" spans="1:12" ht="30" customHeight="1">
      <c r="A107" s="8" t="s">
        <v>204</v>
      </c>
      <c r="B107" s="50"/>
      <c r="C107" s="51"/>
      <c r="D107" s="65" t="s">
        <v>205</v>
      </c>
      <c r="E107" s="90">
        <f t="shared" si="14"/>
        <v>0</v>
      </c>
      <c r="F107" s="44"/>
      <c r="G107" s="44"/>
      <c r="H107" s="44">
        <v>0</v>
      </c>
      <c r="I107" s="44"/>
      <c r="J107" s="90"/>
      <c r="K107" s="90"/>
      <c r="L107" s="45"/>
    </row>
    <row r="108" spans="1:12" ht="23.25" customHeight="1">
      <c r="A108" s="8" t="s">
        <v>188</v>
      </c>
      <c r="B108" s="50"/>
      <c r="C108" s="51"/>
      <c r="D108" s="75" t="s">
        <v>187</v>
      </c>
      <c r="E108" s="90">
        <f aca="true" t="shared" si="15" ref="E108:E115">F108+G108+H108+I108</f>
        <v>0</v>
      </c>
      <c r="F108" s="44"/>
      <c r="G108" s="44"/>
      <c r="H108" s="44"/>
      <c r="I108" s="44"/>
      <c r="J108" s="90"/>
      <c r="K108" s="90"/>
      <c r="L108" s="45"/>
    </row>
    <row r="109" spans="1:12" ht="27.75" customHeight="1">
      <c r="A109" s="8" t="s">
        <v>189</v>
      </c>
      <c r="B109" s="50"/>
      <c r="C109" s="51"/>
      <c r="D109" s="75" t="s">
        <v>190</v>
      </c>
      <c r="E109" s="90">
        <f t="shared" si="15"/>
        <v>0</v>
      </c>
      <c r="F109" s="44"/>
      <c r="G109" s="44"/>
      <c r="H109" s="44"/>
      <c r="I109" s="44"/>
      <c r="J109" s="90"/>
      <c r="K109" s="90"/>
      <c r="L109" s="45"/>
    </row>
    <row r="110" spans="1:12" ht="27.75" customHeight="1">
      <c r="A110" s="8" t="s">
        <v>192</v>
      </c>
      <c r="B110" s="50"/>
      <c r="C110" s="51"/>
      <c r="D110" s="75" t="s">
        <v>191</v>
      </c>
      <c r="E110" s="90">
        <f t="shared" si="15"/>
        <v>0</v>
      </c>
      <c r="F110" s="44"/>
      <c r="G110" s="44"/>
      <c r="H110" s="44"/>
      <c r="I110" s="44"/>
      <c r="J110" s="90"/>
      <c r="K110" s="90"/>
      <c r="L110" s="45"/>
    </row>
    <row r="111" spans="1:12" ht="27.75" customHeight="1">
      <c r="A111" s="8" t="s">
        <v>195</v>
      </c>
      <c r="B111" s="50"/>
      <c r="C111" s="51"/>
      <c r="D111" s="75" t="s">
        <v>196</v>
      </c>
      <c r="E111" s="90">
        <f t="shared" si="15"/>
        <v>104500</v>
      </c>
      <c r="F111" s="99">
        <v>86735</v>
      </c>
      <c r="G111" s="99">
        <v>17765</v>
      </c>
      <c r="H111" s="44"/>
      <c r="I111" s="44"/>
      <c r="J111" s="90">
        <v>104500</v>
      </c>
      <c r="K111" s="90">
        <v>104500</v>
      </c>
      <c r="L111" s="45"/>
    </row>
    <row r="112" spans="1:12" ht="27.75" customHeight="1">
      <c r="A112" s="8" t="s">
        <v>207</v>
      </c>
      <c r="B112" s="50"/>
      <c r="C112" s="51"/>
      <c r="D112" s="75" t="s">
        <v>172</v>
      </c>
      <c r="E112" s="90">
        <f t="shared" si="15"/>
        <v>0</v>
      </c>
      <c r="F112" s="44"/>
      <c r="G112" s="44">
        <v>0</v>
      </c>
      <c r="H112" s="44"/>
      <c r="I112" s="44"/>
      <c r="J112" s="90">
        <v>0</v>
      </c>
      <c r="K112" s="90"/>
      <c r="L112" s="45"/>
    </row>
    <row r="113" spans="1:12" ht="23.25" customHeight="1">
      <c r="A113" s="8" t="s">
        <v>171</v>
      </c>
      <c r="B113" s="50"/>
      <c r="C113" s="51"/>
      <c r="D113" s="75" t="s">
        <v>172</v>
      </c>
      <c r="E113" s="90">
        <f t="shared" si="15"/>
        <v>0</v>
      </c>
      <c r="F113" s="44"/>
      <c r="G113" s="44"/>
      <c r="H113" s="44">
        <v>0</v>
      </c>
      <c r="I113" s="44"/>
      <c r="J113" s="90">
        <v>0</v>
      </c>
      <c r="K113" s="90"/>
      <c r="L113" s="45"/>
    </row>
    <row r="114" spans="1:12" ht="23.25" customHeight="1">
      <c r="A114" s="8" t="s">
        <v>199</v>
      </c>
      <c r="B114" s="50"/>
      <c r="C114" s="51"/>
      <c r="D114" s="75" t="s">
        <v>172</v>
      </c>
      <c r="E114" s="90">
        <f t="shared" si="15"/>
        <v>0</v>
      </c>
      <c r="F114" s="44"/>
      <c r="G114" s="44"/>
      <c r="H114" s="44"/>
      <c r="I114" s="44"/>
      <c r="J114" s="90">
        <f>1552700-1552700</f>
        <v>0</v>
      </c>
      <c r="K114" s="90"/>
      <c r="L114" s="45"/>
    </row>
    <row r="115" spans="1:12" ht="26.25" customHeight="1">
      <c r="A115" s="8" t="s">
        <v>200</v>
      </c>
      <c r="B115" s="50"/>
      <c r="C115" s="51"/>
      <c r="D115" s="75" t="s">
        <v>172</v>
      </c>
      <c r="E115" s="90">
        <f t="shared" si="15"/>
        <v>0</v>
      </c>
      <c r="F115" s="44"/>
      <c r="G115" s="44"/>
      <c r="H115" s="44"/>
      <c r="I115" s="44"/>
      <c r="J115" s="90">
        <f>31700-31700</f>
        <v>0</v>
      </c>
      <c r="K115" s="90"/>
      <c r="L115" s="45"/>
    </row>
    <row r="116" spans="1:12" ht="22.5" customHeight="1">
      <c r="A116" s="8" t="s">
        <v>201</v>
      </c>
      <c r="B116" s="50"/>
      <c r="C116" s="51"/>
      <c r="D116" s="75" t="s">
        <v>172</v>
      </c>
      <c r="E116" s="90">
        <f t="shared" si="14"/>
        <v>0</v>
      </c>
      <c r="F116" s="44"/>
      <c r="G116" s="44"/>
      <c r="H116" s="44"/>
      <c r="I116" s="44"/>
      <c r="J116" s="90">
        <f>1537300-1537300</f>
        <v>0</v>
      </c>
      <c r="K116" s="90"/>
      <c r="L116" s="45"/>
    </row>
    <row r="117" spans="1:12" ht="23.25" customHeight="1">
      <c r="A117" s="8" t="s">
        <v>217</v>
      </c>
      <c r="B117" s="50"/>
      <c r="C117" s="51"/>
      <c r="D117" s="75" t="s">
        <v>172</v>
      </c>
      <c r="E117" s="90">
        <f t="shared" si="14"/>
        <v>0</v>
      </c>
      <c r="F117" s="44"/>
      <c r="G117" s="44"/>
      <c r="H117" s="44"/>
      <c r="I117" s="44"/>
      <c r="J117" s="90">
        <v>0</v>
      </c>
      <c r="K117" s="90"/>
      <c r="L117" s="45"/>
    </row>
    <row r="118" spans="1:12" ht="26.25" customHeight="1" hidden="1">
      <c r="A118" s="19"/>
      <c r="B118" s="50"/>
      <c r="C118" s="51"/>
      <c r="D118" s="65"/>
      <c r="E118" s="90">
        <f t="shared" si="14"/>
        <v>0</v>
      </c>
      <c r="F118" s="44"/>
      <c r="G118" s="44"/>
      <c r="H118" s="44"/>
      <c r="I118" s="44"/>
      <c r="J118" s="90"/>
      <c r="K118" s="90"/>
      <c r="L118" s="45"/>
    </row>
    <row r="119" spans="1:12" ht="26.25" customHeight="1" hidden="1">
      <c r="A119" s="19"/>
      <c r="B119" s="50"/>
      <c r="C119" s="51"/>
      <c r="D119" s="65"/>
      <c r="E119" s="90">
        <f t="shared" si="14"/>
        <v>0</v>
      </c>
      <c r="F119" s="44"/>
      <c r="G119" s="44"/>
      <c r="H119" s="44"/>
      <c r="I119" s="44"/>
      <c r="J119" s="90"/>
      <c r="K119" s="90"/>
      <c r="L119" s="45"/>
    </row>
    <row r="120" spans="1:12" ht="26.25" customHeight="1" hidden="1">
      <c r="A120" s="19"/>
      <c r="B120" s="50"/>
      <c r="C120" s="51"/>
      <c r="D120" s="65"/>
      <c r="E120" s="90">
        <f t="shared" si="14"/>
        <v>0</v>
      </c>
      <c r="F120" s="44"/>
      <c r="G120" s="44"/>
      <c r="H120" s="44"/>
      <c r="I120" s="44"/>
      <c r="J120" s="90"/>
      <c r="K120" s="90"/>
      <c r="L120" s="45"/>
    </row>
    <row r="121" spans="1:12" ht="24.75" customHeight="1" hidden="1">
      <c r="A121" s="19"/>
      <c r="B121" s="50"/>
      <c r="C121" s="51"/>
      <c r="D121" s="65"/>
      <c r="E121" s="90">
        <f t="shared" si="14"/>
        <v>0</v>
      </c>
      <c r="F121" s="44"/>
      <c r="G121" s="44"/>
      <c r="H121" s="44"/>
      <c r="I121" s="44"/>
      <c r="J121" s="90"/>
      <c r="K121" s="90"/>
      <c r="L121" s="45"/>
    </row>
    <row r="122" spans="1:12" ht="21" customHeight="1" hidden="1">
      <c r="A122" s="19"/>
      <c r="B122" s="50"/>
      <c r="C122" s="51"/>
      <c r="D122" s="65"/>
      <c r="E122" s="90">
        <f t="shared" si="14"/>
        <v>0</v>
      </c>
      <c r="F122" s="44"/>
      <c r="G122" s="44"/>
      <c r="H122" s="44"/>
      <c r="I122" s="44"/>
      <c r="J122" s="90"/>
      <c r="K122" s="90"/>
      <c r="L122" s="45"/>
    </row>
    <row r="123" spans="1:12" ht="12.75" hidden="1">
      <c r="A123" s="18"/>
      <c r="B123" s="50"/>
      <c r="C123" s="51"/>
      <c r="D123" s="65"/>
      <c r="E123" s="90">
        <f t="shared" si="14"/>
        <v>0</v>
      </c>
      <c r="F123" s="44"/>
      <c r="G123" s="44"/>
      <c r="H123" s="44"/>
      <c r="I123" s="44"/>
      <c r="J123" s="90"/>
      <c r="K123" s="90"/>
      <c r="L123" s="45"/>
    </row>
    <row r="124" spans="1:12" ht="21" customHeight="1">
      <c r="A124" s="22" t="s">
        <v>118</v>
      </c>
      <c r="B124" s="58"/>
      <c r="C124" s="59"/>
      <c r="D124" s="59"/>
      <c r="E124" s="48">
        <f t="shared" si="14"/>
        <v>82308.76</v>
      </c>
      <c r="F124" s="89">
        <f aca="true" t="shared" si="16" ref="F124:L124">F125+F131+F133</f>
        <v>0</v>
      </c>
      <c r="G124" s="89">
        <f t="shared" si="16"/>
        <v>0</v>
      </c>
      <c r="H124" s="89">
        <f t="shared" si="16"/>
        <v>0</v>
      </c>
      <c r="I124" s="89">
        <f t="shared" si="16"/>
        <v>82308.76</v>
      </c>
      <c r="J124" s="43">
        <f t="shared" si="16"/>
        <v>71100</v>
      </c>
      <c r="K124" s="43">
        <f t="shared" si="16"/>
        <v>71100</v>
      </c>
      <c r="L124" s="43">
        <f t="shared" si="16"/>
        <v>0</v>
      </c>
    </row>
    <row r="125" spans="1:12" ht="17.25" customHeight="1">
      <c r="A125" s="12" t="s">
        <v>92</v>
      </c>
      <c r="B125" s="50" t="s">
        <v>35</v>
      </c>
      <c r="C125" s="54" t="s">
        <v>16</v>
      </c>
      <c r="D125" s="51"/>
      <c r="E125" s="90">
        <f t="shared" si="14"/>
        <v>0</v>
      </c>
      <c r="F125" s="44"/>
      <c r="G125" s="44"/>
      <c r="H125" s="44"/>
      <c r="I125" s="44">
        <f>I126+I128</f>
        <v>0</v>
      </c>
      <c r="J125" s="90">
        <f>J126+J128</f>
        <v>0</v>
      </c>
      <c r="K125" s="91">
        <f>K126+K128</f>
        <v>0</v>
      </c>
      <c r="L125" s="90"/>
    </row>
    <row r="126" spans="1:12" ht="18" customHeight="1">
      <c r="A126" s="16" t="s">
        <v>93</v>
      </c>
      <c r="B126" s="50" t="s">
        <v>36</v>
      </c>
      <c r="C126" s="51">
        <v>111</v>
      </c>
      <c r="D126" s="51"/>
      <c r="E126" s="90">
        <f t="shared" si="14"/>
        <v>0</v>
      </c>
      <c r="F126" s="44"/>
      <c r="G126" s="44"/>
      <c r="H126" s="44"/>
      <c r="I126" s="44">
        <v>0</v>
      </c>
      <c r="J126" s="90">
        <v>0</v>
      </c>
      <c r="K126" s="90">
        <v>0</v>
      </c>
      <c r="L126" s="90"/>
    </row>
    <row r="127" spans="1:12" ht="25.5">
      <c r="A127" s="17" t="s">
        <v>37</v>
      </c>
      <c r="B127" s="50" t="s">
        <v>38</v>
      </c>
      <c r="C127" s="51">
        <v>112</v>
      </c>
      <c r="D127" s="51"/>
      <c r="E127" s="90">
        <f t="shared" si="14"/>
        <v>0</v>
      </c>
      <c r="F127" s="44"/>
      <c r="G127" s="44"/>
      <c r="H127" s="44"/>
      <c r="I127" s="44"/>
      <c r="J127" s="90"/>
      <c r="K127" s="90"/>
      <c r="L127" s="90"/>
    </row>
    <row r="128" spans="1:12" ht="38.25">
      <c r="A128" s="17" t="s">
        <v>39</v>
      </c>
      <c r="B128" s="50" t="s">
        <v>40</v>
      </c>
      <c r="C128" s="51">
        <v>119</v>
      </c>
      <c r="D128" s="51"/>
      <c r="E128" s="90">
        <f t="shared" si="14"/>
        <v>0</v>
      </c>
      <c r="F128" s="44"/>
      <c r="G128" s="44"/>
      <c r="H128" s="44"/>
      <c r="I128" s="44">
        <f>I129</f>
        <v>0</v>
      </c>
      <c r="J128" s="90">
        <f>J129</f>
        <v>0</v>
      </c>
      <c r="K128" s="90">
        <f>K129</f>
        <v>0</v>
      </c>
      <c r="L128" s="90"/>
    </row>
    <row r="129" spans="1:12" ht="12.75">
      <c r="A129" s="18" t="s">
        <v>94</v>
      </c>
      <c r="B129" s="50" t="s">
        <v>41</v>
      </c>
      <c r="C129" s="51">
        <v>119</v>
      </c>
      <c r="D129" s="51"/>
      <c r="E129" s="90">
        <f t="shared" si="14"/>
        <v>0</v>
      </c>
      <c r="F129" s="44"/>
      <c r="G129" s="44"/>
      <c r="H129" s="44"/>
      <c r="I129" s="44">
        <v>0</v>
      </c>
      <c r="J129" s="90">
        <v>0</v>
      </c>
      <c r="K129" s="90">
        <v>0</v>
      </c>
      <c r="L129" s="90"/>
    </row>
    <row r="130" spans="1:12" ht="25.5">
      <c r="A130" s="19" t="s">
        <v>95</v>
      </c>
      <c r="B130" s="50" t="s">
        <v>42</v>
      </c>
      <c r="C130" s="51">
        <v>119</v>
      </c>
      <c r="D130" s="51"/>
      <c r="E130" s="90">
        <f t="shared" si="14"/>
        <v>0</v>
      </c>
      <c r="F130" s="44"/>
      <c r="G130" s="44"/>
      <c r="H130" s="44"/>
      <c r="I130" s="44"/>
      <c r="J130" s="90"/>
      <c r="K130" s="90"/>
      <c r="L130" s="90"/>
    </row>
    <row r="131" spans="1:12" ht="25.5">
      <c r="A131" s="20" t="s">
        <v>98</v>
      </c>
      <c r="B131" s="50" t="s">
        <v>49</v>
      </c>
      <c r="C131" s="51" t="s">
        <v>16</v>
      </c>
      <c r="D131" s="51"/>
      <c r="E131" s="90">
        <f t="shared" si="14"/>
        <v>0</v>
      </c>
      <c r="F131" s="44"/>
      <c r="G131" s="44"/>
      <c r="H131" s="44"/>
      <c r="I131" s="44"/>
      <c r="J131" s="90"/>
      <c r="K131" s="90"/>
      <c r="L131" s="90"/>
    </row>
    <row r="132" spans="1:12" ht="42" customHeight="1">
      <c r="A132" s="19" t="s">
        <v>99</v>
      </c>
      <c r="B132" s="50" t="s">
        <v>50</v>
      </c>
      <c r="C132" s="51">
        <v>831</v>
      </c>
      <c r="D132" s="51"/>
      <c r="E132" s="90">
        <f t="shared" si="14"/>
        <v>0</v>
      </c>
      <c r="F132" s="44"/>
      <c r="G132" s="44"/>
      <c r="H132" s="44"/>
      <c r="I132" s="44"/>
      <c r="J132" s="90"/>
      <c r="K132" s="90"/>
      <c r="L132" s="90"/>
    </row>
    <row r="133" spans="1:12" ht="17.25" customHeight="1">
      <c r="A133" s="20" t="s">
        <v>104</v>
      </c>
      <c r="B133" s="50" t="s">
        <v>51</v>
      </c>
      <c r="C133" s="51" t="s">
        <v>16</v>
      </c>
      <c r="D133" s="51"/>
      <c r="E133" s="90">
        <f t="shared" si="14"/>
        <v>82308.76</v>
      </c>
      <c r="F133" s="44"/>
      <c r="G133" s="44"/>
      <c r="H133" s="44"/>
      <c r="I133" s="99">
        <f>I134+I135+I136+I137+I138</f>
        <v>82308.76</v>
      </c>
      <c r="J133" s="90">
        <f>J134</f>
        <v>71100</v>
      </c>
      <c r="K133" s="90">
        <f>K134</f>
        <v>71100</v>
      </c>
      <c r="L133" s="90"/>
    </row>
    <row r="134" spans="1:12" ht="12.75">
      <c r="A134" s="18" t="s">
        <v>58</v>
      </c>
      <c r="B134" s="50" t="s">
        <v>59</v>
      </c>
      <c r="C134" s="51">
        <v>244</v>
      </c>
      <c r="D134" s="51"/>
      <c r="E134" s="90">
        <f t="shared" si="14"/>
        <v>82308.76</v>
      </c>
      <c r="F134" s="44"/>
      <c r="G134" s="44"/>
      <c r="H134" s="44"/>
      <c r="I134" s="99">
        <f>71100+11208.76</f>
        <v>82308.76</v>
      </c>
      <c r="J134" s="90">
        <v>71100</v>
      </c>
      <c r="K134" s="90">
        <v>71100</v>
      </c>
      <c r="L134" s="90"/>
    </row>
    <row r="135" spans="1:12" ht="12.75">
      <c r="A135" s="20"/>
      <c r="B135" s="50"/>
      <c r="C135" s="51"/>
      <c r="D135" s="51"/>
      <c r="E135" s="90">
        <f t="shared" si="14"/>
        <v>0</v>
      </c>
      <c r="F135" s="44"/>
      <c r="G135" s="44"/>
      <c r="H135" s="44"/>
      <c r="I135" s="44"/>
      <c r="J135" s="90"/>
      <c r="K135" s="90"/>
      <c r="L135" s="45"/>
    </row>
    <row r="136" spans="1:12" ht="12.75" hidden="1">
      <c r="A136" s="20"/>
      <c r="B136" s="50"/>
      <c r="C136" s="51"/>
      <c r="D136" s="51"/>
      <c r="E136" s="90">
        <f t="shared" si="14"/>
        <v>0</v>
      </c>
      <c r="F136" s="44"/>
      <c r="G136" s="44"/>
      <c r="H136" s="44"/>
      <c r="I136" s="44"/>
      <c r="J136" s="90"/>
      <c r="K136" s="90"/>
      <c r="L136" s="45"/>
    </row>
    <row r="137" spans="1:12" ht="12.75" hidden="1">
      <c r="A137" s="20"/>
      <c r="B137" s="50"/>
      <c r="C137" s="51"/>
      <c r="D137" s="51"/>
      <c r="E137" s="90">
        <f t="shared" si="14"/>
        <v>0</v>
      </c>
      <c r="F137" s="44"/>
      <c r="G137" s="44"/>
      <c r="H137" s="44"/>
      <c r="I137" s="44"/>
      <c r="J137" s="90"/>
      <c r="K137" s="90"/>
      <c r="L137" s="45"/>
    </row>
    <row r="138" spans="1:12" ht="12.75" hidden="1">
      <c r="A138" s="20"/>
      <c r="B138" s="50"/>
      <c r="C138" s="51"/>
      <c r="D138" s="51"/>
      <c r="E138" s="90">
        <f aca="true" t="shared" si="17" ref="E138:E144">F138+G138+H138+I138</f>
        <v>0</v>
      </c>
      <c r="F138" s="44"/>
      <c r="G138" s="44"/>
      <c r="H138" s="44"/>
      <c r="I138" s="44"/>
      <c r="J138" s="90"/>
      <c r="K138" s="90"/>
      <c r="L138" s="45"/>
    </row>
    <row r="139" spans="1:12" ht="12.75">
      <c r="A139" s="11" t="s">
        <v>110</v>
      </c>
      <c r="B139" s="53">
        <v>3000</v>
      </c>
      <c r="C139" s="53">
        <v>100</v>
      </c>
      <c r="D139" s="60"/>
      <c r="E139" s="103">
        <f t="shared" si="17"/>
        <v>0</v>
      </c>
      <c r="F139" s="49"/>
      <c r="G139" s="49"/>
      <c r="H139" s="49"/>
      <c r="I139" s="49"/>
      <c r="J139" s="90"/>
      <c r="K139" s="90"/>
      <c r="L139" s="45"/>
    </row>
    <row r="140" spans="1:12" ht="12.75">
      <c r="A140" s="10" t="s">
        <v>111</v>
      </c>
      <c r="B140" s="50" t="s">
        <v>61</v>
      </c>
      <c r="C140" s="51"/>
      <c r="D140" s="51"/>
      <c r="E140" s="90">
        <f t="shared" si="17"/>
        <v>0</v>
      </c>
      <c r="F140" s="44"/>
      <c r="G140" s="44"/>
      <c r="H140" s="44"/>
      <c r="I140" s="44"/>
      <c r="J140" s="90"/>
      <c r="K140" s="90"/>
      <c r="L140" s="45"/>
    </row>
    <row r="141" spans="1:12" ht="12.75">
      <c r="A141" s="10" t="s">
        <v>112</v>
      </c>
      <c r="B141" s="50" t="s">
        <v>62</v>
      </c>
      <c r="C141" s="51"/>
      <c r="D141" s="51"/>
      <c r="E141" s="90">
        <f t="shared" si="17"/>
        <v>0</v>
      </c>
      <c r="F141" s="44"/>
      <c r="G141" s="44"/>
      <c r="H141" s="44"/>
      <c r="I141" s="44"/>
      <c r="J141" s="90"/>
      <c r="K141" s="90"/>
      <c r="L141" s="45"/>
    </row>
    <row r="142" spans="1:12" ht="12.75">
      <c r="A142" s="10" t="s">
        <v>113</v>
      </c>
      <c r="B142" s="50" t="s">
        <v>63</v>
      </c>
      <c r="C142" s="51"/>
      <c r="D142" s="51"/>
      <c r="E142" s="90">
        <f t="shared" si="17"/>
        <v>0</v>
      </c>
      <c r="F142" s="44"/>
      <c r="G142" s="44"/>
      <c r="H142" s="44"/>
      <c r="I142" s="44"/>
      <c r="J142" s="90"/>
      <c r="K142" s="90"/>
      <c r="L142" s="45"/>
    </row>
    <row r="143" spans="1:12" ht="12.75">
      <c r="A143" s="11" t="s">
        <v>114</v>
      </c>
      <c r="B143" s="53">
        <v>4000</v>
      </c>
      <c r="C143" s="53" t="s">
        <v>16</v>
      </c>
      <c r="D143" s="60"/>
      <c r="E143" s="103">
        <f t="shared" si="17"/>
        <v>0</v>
      </c>
      <c r="F143" s="49"/>
      <c r="G143" s="49"/>
      <c r="H143" s="49"/>
      <c r="I143" s="49"/>
      <c r="J143" s="90"/>
      <c r="K143" s="90"/>
      <c r="L143" s="45"/>
    </row>
    <row r="144" spans="1:12" ht="25.5">
      <c r="A144" s="8" t="s">
        <v>64</v>
      </c>
      <c r="B144" s="51">
        <v>4010</v>
      </c>
      <c r="C144" s="51">
        <v>610</v>
      </c>
      <c r="D144" s="51"/>
      <c r="E144" s="90">
        <f t="shared" si="17"/>
        <v>0</v>
      </c>
      <c r="F144" s="44"/>
      <c r="G144" s="44"/>
      <c r="H144" s="44"/>
      <c r="I144" s="44"/>
      <c r="J144" s="90"/>
      <c r="K144" s="90"/>
      <c r="L144" s="45"/>
    </row>
    <row r="145" ht="12.75">
      <c r="A145" s="6"/>
    </row>
    <row r="146" ht="12.75">
      <c r="A146" s="6"/>
    </row>
    <row r="147" spans="3:11" ht="12.75">
      <c r="C147" s="2" t="s">
        <v>185</v>
      </c>
      <c r="D147" s="2"/>
      <c r="E147" s="87">
        <f>SUM(E18+E20-E43)</f>
        <v>1.862645149230957E-09</v>
      </c>
      <c r="J147" s="87">
        <f>SUM(J18+J20-J43)</f>
        <v>0</v>
      </c>
      <c r="K147" s="87">
        <f>SUM(K18+K20-K43)</f>
        <v>-9.313225746154785E-10</v>
      </c>
    </row>
  </sheetData>
  <sheetProtection formatCells="0" formatColumns="0" formatRows="0" insertRows="0"/>
  <protectedRanges>
    <protectedRange sqref="A22 A26 A36:A39" name="Диапазон6"/>
    <protectedRange sqref="F125:L144" name="Диапазон4"/>
    <protectedRange sqref="F133:I133 F87:L123 F44:L65 F68:L85" name="Диапазон3"/>
    <protectedRange sqref="F133:I133 F18:L19 F21:L42" name="Диапазон2"/>
    <protectedRange sqref="I2:K2 I4:K4 L8:L13 A7:I14 E16 J16:L16" name="Диапазон1"/>
    <protectedRange sqref="A96:A123 D87:D123" name="Диапазон5"/>
  </protectedRanges>
  <printOptions/>
  <pageMargins left="0.03937007874015748" right="0.03937007874015748" top="0.7480314960629921" bottom="0.15748031496062992" header="0.31496062992125984" footer="0.31496062992125984"/>
  <pageSetup horizontalDpi="600" verticalDpi="600" orientation="landscape" paperSize="9" scale="68" r:id="rId3"/>
  <rowBreaks count="4" manualBreakCount="4">
    <brk id="42" max="11" man="1"/>
    <brk id="65" max="11" man="1"/>
    <brk id="85" max="11" man="1"/>
    <brk id="117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90" zoomScaleSheetLayoutView="90" zoomScalePageLayoutView="0" workbookViewId="0" topLeftCell="A1">
      <selection activeCell="G9" sqref="G9"/>
    </sheetView>
  </sheetViews>
  <sheetFormatPr defaultColWidth="9.00390625" defaultRowHeight="12.75"/>
  <cols>
    <col min="1" max="1" width="6.625" style="1" customWidth="1"/>
    <col min="2" max="2" width="70.75390625" style="0" customWidth="1"/>
    <col min="3" max="3" width="6.375" style="1" customWidth="1"/>
    <col min="4" max="4" width="7.625" style="0" customWidth="1"/>
    <col min="5" max="5" width="15.625" style="0" customWidth="1"/>
    <col min="6" max="6" width="14.75390625" style="0" customWidth="1"/>
    <col min="7" max="7" width="15.25390625" style="0" customWidth="1"/>
    <col min="8" max="8" width="14.625" style="0" customWidth="1"/>
    <col min="10" max="10" width="14.875" style="0" customWidth="1"/>
    <col min="11" max="11" width="16.625" style="0" customWidth="1"/>
    <col min="12" max="12" width="15.00390625" style="0" customWidth="1"/>
  </cols>
  <sheetData>
    <row r="1" ht="17.25" customHeight="1">
      <c r="B1" s="76" t="s">
        <v>147</v>
      </c>
    </row>
    <row r="2" spans="1:9" s="5" customFormat="1" ht="48">
      <c r="A2" s="9" t="s">
        <v>153</v>
      </c>
      <c r="B2" s="7" t="s">
        <v>0</v>
      </c>
      <c r="C2" s="9" t="s">
        <v>123</v>
      </c>
      <c r="D2" s="9" t="s">
        <v>65</v>
      </c>
      <c r="E2" s="34" t="s">
        <v>218</v>
      </c>
      <c r="F2" s="34" t="s">
        <v>219</v>
      </c>
      <c r="G2" s="34" t="s">
        <v>220</v>
      </c>
      <c r="H2" s="34" t="s">
        <v>124</v>
      </c>
      <c r="I2" s="26"/>
    </row>
    <row r="3" spans="1:8" s="5" customFormat="1" ht="12.75">
      <c r="A3" s="9"/>
      <c r="B3" s="7"/>
      <c r="C3" s="9"/>
      <c r="D3" s="7"/>
      <c r="E3" s="7"/>
      <c r="F3" s="7"/>
      <c r="G3" s="7"/>
      <c r="H3" s="7"/>
    </row>
    <row r="4" spans="1:12" s="5" customFormat="1" ht="18" customHeight="1">
      <c r="A4" s="29">
        <v>1</v>
      </c>
      <c r="B4" s="23" t="s">
        <v>122</v>
      </c>
      <c r="C4" s="29">
        <v>26000</v>
      </c>
      <c r="D4" s="23" t="s">
        <v>16</v>
      </c>
      <c r="E4" s="35">
        <f>E5+E6+E7+E8</f>
        <v>2921802.4399999995</v>
      </c>
      <c r="F4" s="35">
        <f>F5+F6+F7+F8</f>
        <v>1827558.53</v>
      </c>
      <c r="G4" s="35">
        <f>G5+G6+G7+G8</f>
        <v>1806840.73</v>
      </c>
      <c r="H4" s="35">
        <f>H5+H6+H7+H8</f>
        <v>0</v>
      </c>
      <c r="J4" s="88">
        <f>SUM('1 разд'!E56)-E4</f>
        <v>0</v>
      </c>
      <c r="K4" s="88">
        <f>SUM('1 разд'!J56-2разд!F4)</f>
        <v>0</v>
      </c>
      <c r="L4" s="88">
        <f>SUM('1 разд'!K56-2разд!G4)</f>
        <v>0</v>
      </c>
    </row>
    <row r="5" spans="1:8" s="5" customFormat="1" ht="22.5" customHeight="1">
      <c r="A5" s="9" t="s">
        <v>125</v>
      </c>
      <c r="B5" s="9" t="s">
        <v>149</v>
      </c>
      <c r="C5" s="9">
        <v>26100</v>
      </c>
      <c r="D5" s="9" t="s">
        <v>148</v>
      </c>
      <c r="E5" s="36"/>
      <c r="F5" s="36"/>
      <c r="G5" s="36"/>
      <c r="H5" s="36"/>
    </row>
    <row r="6" spans="1:8" s="5" customFormat="1" ht="21" customHeight="1">
      <c r="A6" s="9" t="s">
        <v>126</v>
      </c>
      <c r="B6" s="9" t="s">
        <v>150</v>
      </c>
      <c r="C6" s="9">
        <v>26200</v>
      </c>
      <c r="D6" s="9" t="s">
        <v>148</v>
      </c>
      <c r="E6" s="36"/>
      <c r="F6" s="36"/>
      <c r="G6" s="36"/>
      <c r="H6" s="36"/>
    </row>
    <row r="7" spans="1:8" s="5" customFormat="1" ht="25.5" customHeight="1">
      <c r="A7" s="9" t="s">
        <v>127</v>
      </c>
      <c r="B7" s="27" t="s">
        <v>151</v>
      </c>
      <c r="C7" s="9">
        <v>26300</v>
      </c>
      <c r="D7" s="9" t="s">
        <v>148</v>
      </c>
      <c r="E7" s="36">
        <f>3500+2708.3+1250</f>
        <v>7458.3</v>
      </c>
      <c r="F7" s="36">
        <v>0</v>
      </c>
      <c r="G7" s="36">
        <v>0</v>
      </c>
      <c r="H7" s="36"/>
    </row>
    <row r="8" spans="1:12" s="5" customFormat="1" ht="29.25" customHeight="1">
      <c r="A8" s="9" t="s">
        <v>128</v>
      </c>
      <c r="B8" s="7" t="s">
        <v>152</v>
      </c>
      <c r="C8" s="9">
        <v>26400</v>
      </c>
      <c r="D8" s="9" t="s">
        <v>148</v>
      </c>
      <c r="E8" s="66">
        <f>E9+E12+E15</f>
        <v>2914344.1399999997</v>
      </c>
      <c r="F8" s="36">
        <f>F9+F12+F15</f>
        <v>1827558.53</v>
      </c>
      <c r="G8" s="36">
        <f>G9+G12+G15</f>
        <v>1806840.73</v>
      </c>
      <c r="H8" s="36">
        <f>H9+H12+H15</f>
        <v>0</v>
      </c>
      <c r="J8" s="36">
        <f>E18-E8-E7</f>
        <v>-1.864464138634503E-10</v>
      </c>
      <c r="K8" s="36">
        <f>F18-F8-F7</f>
        <v>0</v>
      </c>
      <c r="L8" s="36">
        <f>G18-G8-G7</f>
        <v>0</v>
      </c>
    </row>
    <row r="9" spans="1:9" s="5" customFormat="1" ht="25.5">
      <c r="A9" s="9" t="s">
        <v>66</v>
      </c>
      <c r="B9" s="30" t="s">
        <v>156</v>
      </c>
      <c r="C9" s="32">
        <v>26410</v>
      </c>
      <c r="D9" s="32" t="s">
        <v>148</v>
      </c>
      <c r="E9" s="37">
        <f>'1 разд'!E80</f>
        <v>2283936.38</v>
      </c>
      <c r="F9" s="37">
        <f>'1 разд'!J80</f>
        <v>1473445.05</v>
      </c>
      <c r="G9" s="37">
        <f>'1 разд'!K80</f>
        <v>1432045.05</v>
      </c>
      <c r="H9" s="37"/>
      <c r="I9" s="5">
        <v>4</v>
      </c>
    </row>
    <row r="10" spans="1:8" s="5" customFormat="1" ht="12.75">
      <c r="A10" s="9" t="s">
        <v>131</v>
      </c>
      <c r="B10" s="28" t="s">
        <v>154</v>
      </c>
      <c r="C10" s="9">
        <v>26411</v>
      </c>
      <c r="D10" s="9" t="s">
        <v>148</v>
      </c>
      <c r="E10" s="36">
        <f>E9</f>
        <v>2283936.38</v>
      </c>
      <c r="F10" s="36">
        <f>F9</f>
        <v>1473445.05</v>
      </c>
      <c r="G10" s="36">
        <f>G9</f>
        <v>1432045.05</v>
      </c>
      <c r="H10" s="36"/>
    </row>
    <row r="11" spans="1:8" s="5" customFormat="1" ht="12.75">
      <c r="A11" s="9" t="s">
        <v>132</v>
      </c>
      <c r="B11" s="28" t="s">
        <v>68</v>
      </c>
      <c r="C11" s="9">
        <v>26412</v>
      </c>
      <c r="D11" s="9" t="s">
        <v>148</v>
      </c>
      <c r="E11" s="36"/>
      <c r="F11" s="36"/>
      <c r="G11" s="36"/>
      <c r="H11" s="36"/>
    </row>
    <row r="12" spans="1:9" s="5" customFormat="1" ht="25.5">
      <c r="A12" s="9" t="s">
        <v>130</v>
      </c>
      <c r="B12" s="30" t="s">
        <v>129</v>
      </c>
      <c r="C12" s="32">
        <v>26420</v>
      </c>
      <c r="D12" s="32" t="s">
        <v>148</v>
      </c>
      <c r="E12" s="37">
        <f>'1 разд'!E95-3500-2708.3-1250</f>
        <v>548099</v>
      </c>
      <c r="F12" s="37">
        <f>'1 разд'!J95</f>
        <v>283013.48</v>
      </c>
      <c r="G12" s="37">
        <f>'1 разд'!K95</f>
        <v>303695.68</v>
      </c>
      <c r="H12" s="37"/>
      <c r="I12" s="5">
        <v>5</v>
      </c>
    </row>
    <row r="13" spans="1:8" s="5" customFormat="1" ht="12.75">
      <c r="A13" s="9" t="s">
        <v>133</v>
      </c>
      <c r="B13" s="28" t="s">
        <v>154</v>
      </c>
      <c r="C13" s="9">
        <v>26421</v>
      </c>
      <c r="D13" s="9" t="s">
        <v>148</v>
      </c>
      <c r="E13" s="36">
        <f>E12</f>
        <v>548099</v>
      </c>
      <c r="F13" s="36">
        <f>F12</f>
        <v>283013.48</v>
      </c>
      <c r="G13" s="36">
        <f>G12</f>
        <v>303695.68</v>
      </c>
      <c r="H13" s="36"/>
    </row>
    <row r="14" spans="1:8" s="5" customFormat="1" ht="12.75">
      <c r="A14" s="9" t="s">
        <v>134</v>
      </c>
      <c r="B14" s="28" t="s">
        <v>68</v>
      </c>
      <c r="C14" s="9">
        <v>26422</v>
      </c>
      <c r="D14" s="9" t="s">
        <v>148</v>
      </c>
      <c r="E14" s="36"/>
      <c r="F14" s="36"/>
      <c r="G14" s="36"/>
      <c r="H14" s="36"/>
    </row>
    <row r="15" spans="1:9" s="5" customFormat="1" ht="18.75" customHeight="1">
      <c r="A15" s="9" t="s">
        <v>135</v>
      </c>
      <c r="B15" s="31" t="s">
        <v>67</v>
      </c>
      <c r="C15" s="32">
        <v>26450</v>
      </c>
      <c r="D15" s="32" t="s">
        <v>148</v>
      </c>
      <c r="E15" s="37">
        <f>'1 разд'!I133</f>
        <v>82308.76</v>
      </c>
      <c r="F15" s="37">
        <f>'1 разд'!J133</f>
        <v>71100</v>
      </c>
      <c r="G15" s="37">
        <f>'1 разд'!K133</f>
        <v>71100</v>
      </c>
      <c r="H15" s="37"/>
      <c r="I15" s="5">
        <v>2</v>
      </c>
    </row>
    <row r="16" spans="1:8" s="5" customFormat="1" ht="12.75">
      <c r="A16" s="9" t="s">
        <v>136</v>
      </c>
      <c r="B16" s="28" t="s">
        <v>154</v>
      </c>
      <c r="C16" s="9">
        <v>26451</v>
      </c>
      <c r="D16" s="9" t="s">
        <v>148</v>
      </c>
      <c r="E16" s="36">
        <f>E15</f>
        <v>82308.76</v>
      </c>
      <c r="F16" s="36">
        <f>F15</f>
        <v>71100</v>
      </c>
      <c r="G16" s="36">
        <f>G15</f>
        <v>71100</v>
      </c>
      <c r="H16" s="36"/>
    </row>
    <row r="17" spans="1:8" s="5" customFormat="1" ht="12.75">
      <c r="A17" s="9" t="s">
        <v>137</v>
      </c>
      <c r="B17" s="28" t="s">
        <v>68</v>
      </c>
      <c r="C17" s="9">
        <v>26452</v>
      </c>
      <c r="D17" s="9" t="s">
        <v>148</v>
      </c>
      <c r="E17" s="36"/>
      <c r="F17" s="36"/>
      <c r="G17" s="36"/>
      <c r="H17" s="36"/>
    </row>
    <row r="18" spans="1:11" s="5" customFormat="1" ht="39" customHeight="1">
      <c r="A18" s="29">
        <v>2</v>
      </c>
      <c r="B18" s="23" t="s">
        <v>138</v>
      </c>
      <c r="C18" s="29">
        <v>26500</v>
      </c>
      <c r="D18" s="29" t="s">
        <v>148</v>
      </c>
      <c r="E18" s="35">
        <f>E19</f>
        <v>2921802.4399999995</v>
      </c>
      <c r="F18" s="35">
        <f>F20</f>
        <v>1827558.53</v>
      </c>
      <c r="G18" s="35">
        <f>G21</f>
        <v>1806840.73</v>
      </c>
      <c r="H18" s="35"/>
      <c r="K18" s="25" t="s">
        <v>157</v>
      </c>
    </row>
    <row r="19" spans="1:8" s="5" customFormat="1" ht="17.25" customHeight="1">
      <c r="A19" s="9" t="s">
        <v>141</v>
      </c>
      <c r="B19" s="7" t="s">
        <v>140</v>
      </c>
      <c r="C19" s="9">
        <v>26510</v>
      </c>
      <c r="D19" s="7">
        <v>2024</v>
      </c>
      <c r="E19" s="38">
        <f>E7+E8</f>
        <v>2921802.4399999995</v>
      </c>
      <c r="F19" s="36"/>
      <c r="G19" s="36"/>
      <c r="H19" s="36"/>
    </row>
    <row r="20" spans="1:8" s="5" customFormat="1" ht="18" customHeight="1">
      <c r="A20" s="9" t="s">
        <v>142</v>
      </c>
      <c r="B20" s="7" t="s">
        <v>1</v>
      </c>
      <c r="C20" s="9">
        <v>26520</v>
      </c>
      <c r="D20" s="7">
        <v>2025</v>
      </c>
      <c r="E20" s="36"/>
      <c r="F20" s="38">
        <f>F8+F7</f>
        <v>1827558.53</v>
      </c>
      <c r="G20" s="36"/>
      <c r="H20" s="36"/>
    </row>
    <row r="21" spans="1:8" s="5" customFormat="1" ht="18" customHeight="1">
      <c r="A21" s="9" t="s">
        <v>143</v>
      </c>
      <c r="B21" s="7" t="s">
        <v>2</v>
      </c>
      <c r="C21" s="9">
        <v>26530</v>
      </c>
      <c r="D21" s="7">
        <v>2026</v>
      </c>
      <c r="E21" s="36"/>
      <c r="F21" s="36"/>
      <c r="G21" s="38">
        <f>G8+G7</f>
        <v>1806840.73</v>
      </c>
      <c r="H21" s="36"/>
    </row>
    <row r="22" spans="1:8" s="5" customFormat="1" ht="40.5" customHeight="1">
      <c r="A22" s="29">
        <v>3</v>
      </c>
      <c r="B22" s="23" t="s">
        <v>69</v>
      </c>
      <c r="C22" s="29">
        <v>26600</v>
      </c>
      <c r="D22" s="29" t="s">
        <v>148</v>
      </c>
      <c r="E22" s="35">
        <f>E23</f>
        <v>0</v>
      </c>
      <c r="F22" s="35">
        <f>F24</f>
        <v>0</v>
      </c>
      <c r="G22" s="35">
        <f>G25</f>
        <v>0</v>
      </c>
      <c r="H22" s="35"/>
    </row>
    <row r="23" spans="1:8" s="5" customFormat="1" ht="12.75">
      <c r="A23" s="9" t="s">
        <v>144</v>
      </c>
      <c r="B23" s="7" t="s">
        <v>140</v>
      </c>
      <c r="C23" s="9">
        <v>26610</v>
      </c>
      <c r="D23" s="7" t="s">
        <v>139</v>
      </c>
      <c r="E23" s="38"/>
      <c r="F23" s="36"/>
      <c r="G23" s="36"/>
      <c r="H23" s="36"/>
    </row>
    <row r="24" spans="1:8" s="5" customFormat="1" ht="12.75">
      <c r="A24" s="9" t="s">
        <v>145</v>
      </c>
      <c r="B24" s="7" t="s">
        <v>1</v>
      </c>
      <c r="C24" s="9">
        <v>26620</v>
      </c>
      <c r="D24" s="7" t="s">
        <v>139</v>
      </c>
      <c r="E24" s="36"/>
      <c r="F24" s="38"/>
      <c r="G24" s="36"/>
      <c r="H24" s="36"/>
    </row>
    <row r="25" spans="1:8" s="5" customFormat="1" ht="12.75">
      <c r="A25" s="9" t="s">
        <v>146</v>
      </c>
      <c r="B25" s="7" t="s">
        <v>2</v>
      </c>
      <c r="C25" s="9">
        <v>26630</v>
      </c>
      <c r="D25" s="7" t="s">
        <v>139</v>
      </c>
      <c r="E25" s="36"/>
      <c r="F25" s="36"/>
      <c r="G25" s="38"/>
      <c r="H25" s="36"/>
    </row>
    <row r="26" spans="1:3" s="5" customFormat="1" ht="12.75">
      <c r="A26" s="24"/>
      <c r="C26" s="24"/>
    </row>
    <row r="27" spans="1:4" s="5" customFormat="1" ht="12.75">
      <c r="A27" s="24"/>
      <c r="B27" s="71" t="s">
        <v>211</v>
      </c>
      <c r="C27" s="72"/>
      <c r="D27" s="73"/>
    </row>
    <row r="28" spans="1:3" s="5" customFormat="1" ht="12.75">
      <c r="A28" s="24"/>
      <c r="B28" s="33" t="s">
        <v>155</v>
      </c>
      <c r="C28" s="24"/>
    </row>
    <row r="29" spans="1:3" s="5" customFormat="1" ht="12.75">
      <c r="A29" s="24"/>
      <c r="C29" s="24"/>
    </row>
    <row r="30" spans="1:3" s="5" customFormat="1" ht="12.75">
      <c r="A30" s="24"/>
      <c r="C30" s="24"/>
    </row>
    <row r="31" spans="1:3" s="5" customFormat="1" ht="12.75">
      <c r="A31" s="24"/>
      <c r="C31" s="24"/>
    </row>
    <row r="32" spans="1:3" s="5" customFormat="1" ht="12.75">
      <c r="A32" s="24"/>
      <c r="C32" s="24"/>
    </row>
    <row r="33" spans="1:3" s="5" customFormat="1" ht="12.75">
      <c r="A33" s="24"/>
      <c r="C33" s="24"/>
    </row>
  </sheetData>
  <sheetProtection formatCells="0" formatColumns="0" formatRows="0"/>
  <protectedRanges>
    <protectedRange sqref="A31:H43" name="Диапазон7"/>
    <protectedRange sqref="E5:H7" name="Диапазон1"/>
    <protectedRange sqref="E9:H17" name="Диапазон2"/>
    <protectedRange sqref="E19 F20 G21 H18" name="Диапазон3"/>
    <protectedRange sqref="E23 F24 G25 H22" name="Диапазон4"/>
    <protectedRange sqref="E2:H2" name="Диапазон5"/>
    <protectedRange sqref="B26:H27" name="Диапазон6"/>
  </protectedRanges>
  <printOptions/>
  <pageMargins left="0.03937007874015748" right="0.03937007874015748" top="0.7480314960629921" bottom="0.03937007874015748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2024-01-16T11:00:48Z</cp:lastPrinted>
  <dcterms:created xsi:type="dcterms:W3CDTF">2011-01-11T10:25:48Z</dcterms:created>
  <dcterms:modified xsi:type="dcterms:W3CDTF">2024-01-23T12:44:57Z</dcterms:modified>
  <cp:category/>
  <cp:version/>
  <cp:contentType/>
  <cp:contentStatus/>
</cp:coreProperties>
</file>